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C:\Users\RMJ\Documents\MARTHA\MARTHA TRABAJO\PLANEACION 2021\PLAN DE ADQUISICIONES 2021\VERSIONES\"/>
    </mc:Choice>
  </mc:AlternateContent>
  <xr:revisionPtr revIDLastSave="0" documentId="13_ncr:1_{4031495B-2248-434D-9F77-6BFE2ADB6C2D}" xr6:coauthVersionLast="47" xr6:coauthVersionMax="47" xr10:uidLastSave="{00000000-0000-0000-0000-000000000000}"/>
  <bookViews>
    <workbookView xWindow="-108" yWindow="-108" windowWidth="23256" windowHeight="12576" xr2:uid="{00000000-000D-0000-FFFF-FFFF00000000}"/>
  </bookViews>
  <sheets>
    <sheet name="PLAN DE ADQUISICIONES 2021" sheetId="1" r:id="rId1"/>
    <sheet name="Reservas presupuestales" sheetId="3" r:id="rId2"/>
    <sheet name="Metas cuatrenio" sheetId="4" r:id="rId3"/>
    <sheet name="Hoja1" sheetId="5" state="hidden" r:id="rId4"/>
    <sheet name="COMISIONES" sheetId="2" r:id="rId5"/>
  </sheets>
  <externalReferences>
    <externalReference r:id="rId6"/>
    <externalReference r:id="rId7"/>
  </externalReferences>
  <definedNames>
    <definedName name="_xlnm._FilterDatabase" localSheetId="0" hidden="1">'PLAN DE ADQUISICIONES 2021'!$A$2:$AO$168</definedName>
    <definedName name="_xlnm._FilterDatabase" localSheetId="1" hidden="1">'Reservas presupuestales'!$A$3:$V$72</definedName>
    <definedName name="_Toc16493523" localSheetId="2">'Metas cuatrenio'!#REF!</definedName>
    <definedName name="_Toc16493524" localSheetId="2">'Metas cuatrenio'!$I$1</definedName>
    <definedName name="_xlnm.Print_Area" localSheetId="4">COMISIONES!$A$1:$I$103</definedName>
    <definedName name="CPA">[1]Listas!$B$1:$B$19</definedName>
    <definedName name="gasto">[1]Listas!$F$1:$F$7</definedName>
    <definedName name="GRUPO">[1]Listas!$M$1:$M$17</definedName>
    <definedName name="M">[1]Listas!$D$1:$D$4</definedName>
    <definedName name="META">[2]lista!$D$1</definedName>
    <definedName name="metas">[1]Listas!$A$1:$A$15</definedName>
    <definedName name="proceso">[1]Listas!$K$1:$K$15</definedName>
    <definedName name="PROYECTO">[1]Listas!$C$1:$C$2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8" i="3" l="1"/>
  <c r="T37" i="3"/>
  <c r="T22" i="3"/>
  <c r="T28" i="3"/>
  <c r="AL88" i="1" l="1"/>
  <c r="AL81" i="1"/>
  <c r="AL82" i="1"/>
  <c r="AL74" i="1"/>
  <c r="AL66" i="1"/>
  <c r="AL64" i="1"/>
  <c r="AL73" i="1"/>
  <c r="AL93" i="1"/>
  <c r="AL94" i="1"/>
  <c r="AL69" i="1"/>
  <c r="AL58" i="1"/>
  <c r="AL29" i="1"/>
  <c r="AL28" i="1"/>
  <c r="AL27" i="1"/>
  <c r="AL60" i="1"/>
  <c r="AL59" i="1"/>
  <c r="AL11" i="1"/>
  <c r="AL31" i="1"/>
  <c r="AL30" i="1"/>
  <c r="AL4" i="1"/>
  <c r="AL3" i="1"/>
  <c r="AL22" i="1"/>
  <c r="AL16" i="1"/>
  <c r="AL15" i="1"/>
  <c r="AL17" i="1"/>
  <c r="AL21" i="1"/>
  <c r="AL10" i="1"/>
  <c r="AL37" i="1"/>
  <c r="AL19" i="1"/>
  <c r="AL41" i="1"/>
  <c r="AL38" i="1"/>
  <c r="AL36" i="1"/>
  <c r="AL40" i="1"/>
  <c r="AL39" i="1"/>
  <c r="AL20" i="1"/>
  <c r="AL9" i="1"/>
  <c r="AL143" i="1"/>
  <c r="AL134" i="1"/>
  <c r="AL139" i="1"/>
  <c r="AL137" i="1"/>
  <c r="AL132" i="1"/>
  <c r="AL130" i="1"/>
  <c r="AL152" i="1"/>
  <c r="AL117" i="1"/>
  <c r="AL124" i="1"/>
  <c r="AL147" i="1"/>
  <c r="AL118" i="1"/>
  <c r="AL122" i="1"/>
  <c r="AL131" i="1"/>
  <c r="AL127" i="1"/>
  <c r="AL129" i="1"/>
  <c r="AL123" i="1"/>
  <c r="AH152" i="1"/>
  <c r="AH117" i="1"/>
  <c r="AH147" i="1"/>
  <c r="AH118" i="1"/>
  <c r="AD118" i="1"/>
  <c r="AD147" i="1"/>
  <c r="AD119" i="1" l="1"/>
  <c r="AH132" i="1"/>
  <c r="AD132" i="1"/>
  <c r="Y6" i="1"/>
  <c r="AB6" i="1" s="1"/>
  <c r="AB72" i="1"/>
  <c r="AE72" i="1" s="1"/>
  <c r="AD116" i="1"/>
  <c r="AI6" i="1" l="1"/>
  <c r="AE6" i="1"/>
  <c r="AI72" i="1"/>
  <c r="AD152" i="1" l="1"/>
  <c r="AD117" i="1"/>
  <c r="AD81" i="1" l="1"/>
  <c r="AD149" i="1"/>
  <c r="AD135" i="1"/>
  <c r="AD76" i="1"/>
  <c r="T34" i="3" l="1"/>
  <c r="AL105" i="1" l="1"/>
  <c r="AN134" i="1"/>
  <c r="AL136" i="1"/>
  <c r="AL138" i="1"/>
  <c r="AH120" i="1"/>
  <c r="AD120" i="1"/>
  <c r="AP134" i="1" l="1"/>
  <c r="Y32" i="1"/>
  <c r="AB32" i="1" s="1"/>
  <c r="AB33" i="1"/>
  <c r="AA23" i="1"/>
  <c r="AB157" i="1"/>
  <c r="AE157" i="1" s="1"/>
  <c r="AL164" i="1"/>
  <c r="AL75" i="1"/>
  <c r="AH164" i="1"/>
  <c r="AD164" i="1"/>
  <c r="AE32" i="1" l="1"/>
  <c r="AI32" i="1"/>
  <c r="AE33" i="1"/>
  <c r="AI33" i="1"/>
  <c r="AI157" i="1"/>
  <c r="T57" i="3"/>
  <c r="T55" i="3"/>
  <c r="T61" i="3"/>
  <c r="T60" i="3"/>
  <c r="T58" i="3"/>
  <c r="T62" i="3"/>
  <c r="T16" i="3"/>
  <c r="AL140" i="1" l="1"/>
  <c r="Y114" i="1"/>
  <c r="AA123" i="1" l="1"/>
  <c r="AA104" i="1"/>
  <c r="AB163" i="1"/>
  <c r="AE163" i="1" s="1"/>
  <c r="AA95" i="1"/>
  <c r="AB114" i="1"/>
  <c r="AE114" i="1" s="1"/>
  <c r="AI163" i="1" l="1"/>
  <c r="AI114" i="1"/>
  <c r="T42" i="3" l="1"/>
  <c r="T33" i="3"/>
  <c r="T39" i="3"/>
  <c r="AL125" i="1" l="1"/>
  <c r="AL116" i="1"/>
  <c r="AL102" i="1"/>
  <c r="AH138" i="1"/>
  <c r="AH125" i="1"/>
  <c r="AD138" i="1" l="1"/>
  <c r="AB141" i="1" l="1"/>
  <c r="AE141" i="1" s="1"/>
  <c r="AH116" i="1"/>
  <c r="AH102" i="1"/>
  <c r="AD97" i="1"/>
  <c r="AD102" i="1"/>
  <c r="AI141" i="1" l="1"/>
  <c r="AD127" i="1"/>
  <c r="AD39" i="1"/>
  <c r="AD37" i="1"/>
  <c r="AD36" i="1"/>
  <c r="AD41" i="1"/>
  <c r="T63" i="3" l="1"/>
  <c r="P63" i="3"/>
  <c r="M63" i="3"/>
  <c r="U4" i="3" l="1"/>
  <c r="U5" i="3"/>
  <c r="U6" i="3"/>
  <c r="U42" i="3"/>
  <c r="T46" i="3"/>
  <c r="M64" i="3"/>
  <c r="P64" i="3"/>
  <c r="M60" i="3"/>
  <c r="M59" i="3"/>
  <c r="P57" i="3" l="1"/>
  <c r="P56" i="3"/>
  <c r="AH88" i="1"/>
  <c r="T41" i="3" l="1"/>
  <c r="T36" i="3"/>
  <c r="T35" i="3"/>
  <c r="U34" i="3"/>
  <c r="U43" i="3"/>
  <c r="U44" i="3"/>
  <c r="U35" i="3"/>
  <c r="U45" i="3"/>
  <c r="U46" i="3"/>
  <c r="U47" i="3"/>
  <c r="U7" i="3"/>
  <c r="U48" i="3"/>
  <c r="U38" i="3"/>
  <c r="U49" i="3"/>
  <c r="U8" i="3"/>
  <c r="U9" i="3"/>
  <c r="U10" i="3"/>
  <c r="U11" i="3"/>
  <c r="U12" i="3"/>
  <c r="U13" i="3"/>
  <c r="U14" i="3"/>
  <c r="U39" i="3"/>
  <c r="U50" i="3"/>
  <c r="U51" i="3"/>
  <c r="U15" i="3"/>
  <c r="U16" i="3"/>
  <c r="U17" i="3"/>
  <c r="U18" i="3"/>
  <c r="U19" i="3"/>
  <c r="U20" i="3"/>
  <c r="U52" i="3"/>
  <c r="U53" i="3"/>
  <c r="U21" i="3"/>
  <c r="U22" i="3"/>
  <c r="U23" i="3"/>
  <c r="U24" i="3"/>
  <c r="U25" i="3"/>
  <c r="U26" i="3"/>
  <c r="U27" i="3"/>
  <c r="U28" i="3"/>
  <c r="U54" i="3"/>
  <c r="U29" i="3"/>
  <c r="U30" i="3"/>
  <c r="U31" i="3"/>
  <c r="U32" i="3"/>
  <c r="U40" i="3"/>
  <c r="U33" i="3"/>
  <c r="U55" i="3"/>
  <c r="U56" i="3"/>
  <c r="U57" i="3"/>
  <c r="U58" i="3"/>
  <c r="U59" i="3"/>
  <c r="U60" i="3"/>
  <c r="U61" i="3"/>
  <c r="U62" i="3"/>
  <c r="U63" i="3"/>
  <c r="U64" i="3"/>
  <c r="U65" i="3"/>
  <c r="U66" i="3"/>
  <c r="U67" i="3"/>
  <c r="U68" i="3"/>
  <c r="Q67" i="3" l="1"/>
  <c r="Q68" i="3"/>
  <c r="Q66" i="3"/>
  <c r="Q65" i="3"/>
  <c r="Q63" i="3" l="1"/>
  <c r="Q64" i="3"/>
  <c r="Q62" i="3"/>
  <c r="Q61" i="3"/>
  <c r="Q60" i="3"/>
  <c r="Q59" i="3"/>
  <c r="Q58" i="3"/>
  <c r="Q57" i="3"/>
  <c r="Q56" i="3"/>
  <c r="AD88" i="1" l="1"/>
  <c r="Q55" i="3" l="1"/>
  <c r="P41" i="3"/>
  <c r="U41" i="3" s="1"/>
  <c r="M41" i="3"/>
  <c r="Q29" i="3"/>
  <c r="Q30" i="3"/>
  <c r="Q31" i="3"/>
  <c r="Q32" i="3"/>
  <c r="Q40" i="3"/>
  <c r="Q33" i="3"/>
  <c r="Q41" i="3" l="1"/>
  <c r="Q10" i="3"/>
  <c r="Q11" i="3"/>
  <c r="Q12" i="3"/>
  <c r="Q13" i="3"/>
  <c r="Q14" i="3"/>
  <c r="Q39" i="3"/>
  <c r="Q50" i="3"/>
  <c r="Q51" i="3"/>
  <c r="Q15" i="3"/>
  <c r="Q16" i="3"/>
  <c r="Q17" i="3"/>
  <c r="Q18" i="3"/>
  <c r="Q19" i="3"/>
  <c r="Q20" i="3"/>
  <c r="Q52" i="3"/>
  <c r="Q53" i="3"/>
  <c r="Q21" i="3"/>
  <c r="Q22" i="3"/>
  <c r="Q23" i="3"/>
  <c r="Q24" i="3"/>
  <c r="Q25" i="3"/>
  <c r="Q26" i="3"/>
  <c r="Q27" i="3"/>
  <c r="Q28" i="3"/>
  <c r="Q54" i="3"/>
  <c r="Q9" i="3"/>
  <c r="Q8" i="3"/>
  <c r="P37" i="3"/>
  <c r="U37" i="3" s="1"/>
  <c r="M37" i="3"/>
  <c r="Q6" i="3"/>
  <c r="Q47" i="3"/>
  <c r="Q7" i="3"/>
  <c r="Q48" i="3"/>
  <c r="Q38" i="3"/>
  <c r="Q49" i="3"/>
  <c r="P36" i="3"/>
  <c r="M36" i="3"/>
  <c r="Q44" i="3"/>
  <c r="Q35" i="3"/>
  <c r="Q5" i="3"/>
  <c r="Q45" i="3"/>
  <c r="Q46" i="3"/>
  <c r="Q34" i="3"/>
  <c r="Q43" i="3"/>
  <c r="Q4" i="3"/>
  <c r="Q42" i="3"/>
  <c r="Q36" i="3" l="1"/>
  <c r="U36" i="3"/>
  <c r="Q37" i="3"/>
  <c r="AB26" i="1" l="1"/>
  <c r="AB25" i="1"/>
  <c r="AB24" i="1"/>
  <c r="AE24" i="1" l="1"/>
  <c r="AI24" i="1"/>
  <c r="AI25" i="1"/>
  <c r="AE25" i="1"/>
  <c r="AI26" i="1"/>
  <c r="AE26" i="1"/>
  <c r="N18" i="1"/>
  <c r="AB18" i="1" s="1"/>
  <c r="N57" i="1"/>
  <c r="N56" i="1"/>
  <c r="N54" i="1"/>
  <c r="AI18" i="1" l="1"/>
  <c r="AE18" i="1"/>
  <c r="I46" i="2"/>
  <c r="H46" i="2" l="1"/>
  <c r="AB154" i="1" l="1"/>
  <c r="N138" i="1"/>
  <c r="AI154" i="1" l="1"/>
  <c r="AE154" i="1"/>
  <c r="N43" i="1"/>
  <c r="AB53" i="1"/>
  <c r="AB52" i="1"/>
  <c r="AE53" i="1" l="1"/>
  <c r="AI53" i="1"/>
  <c r="AI52" i="1"/>
  <c r="AE52" i="1"/>
  <c r="N133" i="1"/>
  <c r="AB134" i="1"/>
  <c r="AI134" i="1" l="1"/>
  <c r="AE134" i="1"/>
  <c r="N60" i="1"/>
  <c r="N59" i="1"/>
  <c r="N58" i="1"/>
  <c r="N42" i="1"/>
  <c r="N41" i="1"/>
  <c r="N40" i="1"/>
  <c r="N39" i="1"/>
  <c r="N38" i="1"/>
  <c r="N37" i="1"/>
  <c r="N36" i="1"/>
  <c r="N31" i="1"/>
  <c r="N30" i="1"/>
  <c r="N29" i="1"/>
  <c r="N28" i="1"/>
  <c r="N27" i="1"/>
  <c r="N22" i="1"/>
  <c r="N21" i="1"/>
  <c r="N20" i="1"/>
  <c r="N19" i="1"/>
  <c r="N17" i="1"/>
  <c r="N16" i="1"/>
  <c r="N15" i="1"/>
  <c r="N11" i="1" l="1"/>
  <c r="N10" i="1"/>
  <c r="N9" i="1"/>
  <c r="N5" i="1"/>
  <c r="N4" i="1"/>
  <c r="N3" i="1"/>
  <c r="AB101" i="1" l="1"/>
  <c r="N100" i="1"/>
  <c r="AB159" i="1"/>
  <c r="AI159" i="1" l="1"/>
  <c r="AE159" i="1"/>
  <c r="AI101" i="1"/>
  <c r="AE101" i="1"/>
  <c r="F20" i="4"/>
  <c r="E20" i="4"/>
  <c r="D20" i="4"/>
  <c r="C20" i="4"/>
  <c r="G19" i="4"/>
  <c r="G18" i="4"/>
  <c r="G17" i="4"/>
  <c r="F16" i="4"/>
  <c r="E16" i="4"/>
  <c r="D16" i="4"/>
  <c r="C16" i="4"/>
  <c r="G15" i="4"/>
  <c r="G14" i="4"/>
  <c r="G13" i="4"/>
  <c r="G12" i="4"/>
  <c r="G11" i="4"/>
  <c r="G10" i="4"/>
  <c r="G9" i="4"/>
  <c r="G8" i="4"/>
  <c r="F7" i="4"/>
  <c r="E7" i="4"/>
  <c r="D7" i="4"/>
  <c r="C7" i="4"/>
  <c r="G6" i="4"/>
  <c r="G5" i="4"/>
  <c r="G4" i="4"/>
  <c r="G3" i="4"/>
  <c r="E21" i="4" l="1"/>
  <c r="G16" i="4"/>
  <c r="G7" i="4"/>
  <c r="C21" i="4"/>
  <c r="D21" i="4"/>
  <c r="F21" i="4"/>
  <c r="G20" i="4"/>
  <c r="G21" i="4" s="1"/>
  <c r="T11" i="5"/>
  <c r="D4" i="5"/>
  <c r="AB110" i="1"/>
  <c r="N109" i="1"/>
  <c r="AE110" i="1" l="1"/>
  <c r="AI110" i="1"/>
  <c r="N158" i="1"/>
  <c r="N124" i="1"/>
  <c r="N103" i="1"/>
  <c r="N112" i="1"/>
  <c r="N106" i="1"/>
  <c r="N105" i="1"/>
  <c r="N104" i="1"/>
  <c r="N151" i="1"/>
  <c r="N150" i="1"/>
  <c r="N149" i="1"/>
  <c r="N155" i="1"/>
  <c r="N118" i="1"/>
  <c r="N117" i="1"/>
  <c r="N164" i="1" l="1"/>
  <c r="AB164" i="1" l="1"/>
  <c r="AE164" i="1" s="1"/>
  <c r="AB162" i="1"/>
  <c r="AB161" i="1"/>
  <c r="AB160" i="1"/>
  <c r="AB156" i="1"/>
  <c r="AB153" i="1"/>
  <c r="AB152" i="1"/>
  <c r="AB151" i="1"/>
  <c r="AB150" i="1"/>
  <c r="AB149" i="1"/>
  <c r="AB148" i="1"/>
  <c r="AB146" i="1"/>
  <c r="AB145" i="1"/>
  <c r="AB144" i="1"/>
  <c r="AB143" i="1"/>
  <c r="AB142" i="1"/>
  <c r="AB140" i="1"/>
  <c r="AB139" i="1"/>
  <c r="AE139" i="1" s="1"/>
  <c r="AB138" i="1"/>
  <c r="AB137" i="1"/>
  <c r="AE137" i="1" s="1"/>
  <c r="AB136" i="1"/>
  <c r="AB135" i="1"/>
  <c r="AB133" i="1"/>
  <c r="AB132" i="1"/>
  <c r="AB128" i="1"/>
  <c r="AB125" i="1"/>
  <c r="AB120" i="1"/>
  <c r="AB119" i="1"/>
  <c r="AB118" i="1"/>
  <c r="AB117" i="1"/>
  <c r="AB115" i="1"/>
  <c r="AE115" i="1" s="1"/>
  <c r="AB113" i="1"/>
  <c r="AB112" i="1"/>
  <c r="AB111" i="1"/>
  <c r="AB109" i="1"/>
  <c r="AB108" i="1"/>
  <c r="AB107" i="1"/>
  <c r="AB106" i="1"/>
  <c r="AB105" i="1"/>
  <c r="AB104" i="1"/>
  <c r="AB103" i="1"/>
  <c r="AB100" i="1"/>
  <c r="AB99" i="1"/>
  <c r="AB98" i="1"/>
  <c r="AB96" i="1"/>
  <c r="AB95" i="1"/>
  <c r="AB92" i="1"/>
  <c r="AE92" i="1" s="1"/>
  <c r="AB91" i="1"/>
  <c r="AB90" i="1"/>
  <c r="AB89" i="1"/>
  <c r="AB88" i="1"/>
  <c r="AB87" i="1"/>
  <c r="AI87" i="1" s="1"/>
  <c r="AB85" i="1"/>
  <c r="AB84" i="1"/>
  <c r="AB83" i="1"/>
  <c r="AB81" i="1"/>
  <c r="AB80" i="1"/>
  <c r="AB78" i="1"/>
  <c r="AB77" i="1"/>
  <c r="AB76" i="1"/>
  <c r="AB71" i="1"/>
  <c r="AB68" i="1"/>
  <c r="AB67" i="1"/>
  <c r="AB65" i="1"/>
  <c r="AB63" i="1"/>
  <c r="AB62" i="1"/>
  <c r="AB61" i="1"/>
  <c r="AB60" i="1"/>
  <c r="AB59" i="1"/>
  <c r="AB58" i="1"/>
  <c r="AB57" i="1"/>
  <c r="AB56" i="1"/>
  <c r="AB55" i="1"/>
  <c r="AB54" i="1"/>
  <c r="AB51" i="1"/>
  <c r="AB50" i="1"/>
  <c r="AB49" i="1"/>
  <c r="AB48" i="1"/>
  <c r="AB47" i="1"/>
  <c r="AB45" i="1"/>
  <c r="AB44" i="1"/>
  <c r="AB43" i="1"/>
  <c r="AB42" i="1"/>
  <c r="AB41" i="1"/>
  <c r="AB40" i="1"/>
  <c r="AB39" i="1"/>
  <c r="AB38" i="1"/>
  <c r="AB37" i="1"/>
  <c r="AB36" i="1"/>
  <c r="AB35" i="1"/>
  <c r="AB34" i="1"/>
  <c r="AB31" i="1"/>
  <c r="AB30" i="1"/>
  <c r="AB29" i="1"/>
  <c r="AB28" i="1"/>
  <c r="AB27" i="1"/>
  <c r="AB23" i="1"/>
  <c r="AB22" i="1"/>
  <c r="AB21" i="1"/>
  <c r="AB20" i="1"/>
  <c r="AB19" i="1"/>
  <c r="AB17" i="1"/>
  <c r="AB16" i="1"/>
  <c r="AB15" i="1"/>
  <c r="AB14" i="1"/>
  <c r="AB13" i="1"/>
  <c r="AB12" i="1"/>
  <c r="AB11" i="1"/>
  <c r="AB10" i="1"/>
  <c r="AB9" i="1"/>
  <c r="AB8" i="1"/>
  <c r="AB7" i="1"/>
  <c r="AB5" i="1"/>
  <c r="AB4" i="1"/>
  <c r="AB3" i="1"/>
  <c r="N79" i="1"/>
  <c r="AB79" i="1" s="1"/>
  <c r="N86" i="1"/>
  <c r="AB86" i="1" s="1"/>
  <c r="AI86" i="1" s="1"/>
  <c r="N46" i="1"/>
  <c r="AE79" i="1" l="1"/>
  <c r="AI79" i="1"/>
  <c r="AE11" i="1"/>
  <c r="AI11" i="1"/>
  <c r="AE20" i="1"/>
  <c r="AI20" i="1"/>
  <c r="AE31" i="1"/>
  <c r="AI31" i="1"/>
  <c r="AE45" i="1"/>
  <c r="AI45" i="1"/>
  <c r="AI56" i="1"/>
  <c r="AE56" i="1"/>
  <c r="AE65" i="1"/>
  <c r="AI65" i="1"/>
  <c r="AI81" i="1"/>
  <c r="AE81" i="1"/>
  <c r="AE98" i="1"/>
  <c r="AI98" i="1"/>
  <c r="AI113" i="1"/>
  <c r="AE113" i="1"/>
  <c r="AI137" i="1"/>
  <c r="AI151" i="1"/>
  <c r="AE151" i="1"/>
  <c r="AE8" i="1"/>
  <c r="AI8" i="1"/>
  <c r="AI16" i="1"/>
  <c r="AE16" i="1"/>
  <c r="AE28" i="1"/>
  <c r="AI28" i="1"/>
  <c r="AE42" i="1"/>
  <c r="AI42" i="1"/>
  <c r="AI51" i="1"/>
  <c r="AE51" i="1"/>
  <c r="AI67" i="1"/>
  <c r="AE67" i="1"/>
  <c r="AI88" i="1"/>
  <c r="AE88" i="1"/>
  <c r="AE99" i="1"/>
  <c r="AI99" i="1"/>
  <c r="AI115" i="1"/>
  <c r="AI133" i="1"/>
  <c r="AE133" i="1"/>
  <c r="AI143" i="1"/>
  <c r="AE143" i="1"/>
  <c r="AE161" i="1"/>
  <c r="AI161" i="1"/>
  <c r="AI13" i="1"/>
  <c r="AE13" i="1"/>
  <c r="AI22" i="1"/>
  <c r="AE22" i="1"/>
  <c r="AI35" i="1"/>
  <c r="AE35" i="1"/>
  <c r="AI39" i="1"/>
  <c r="AE39" i="1"/>
  <c r="AI43" i="1"/>
  <c r="AE43" i="1"/>
  <c r="AI48" i="1"/>
  <c r="AE48" i="1"/>
  <c r="AE54" i="1"/>
  <c r="AI54" i="1"/>
  <c r="AE58" i="1"/>
  <c r="AI58" i="1"/>
  <c r="AE62" i="1"/>
  <c r="AI62" i="1"/>
  <c r="AI68" i="1"/>
  <c r="AE68" i="1"/>
  <c r="AE78" i="1"/>
  <c r="AI78" i="1"/>
  <c r="AI84" i="1"/>
  <c r="AE84" i="1"/>
  <c r="AI89" i="1"/>
  <c r="AE89" i="1"/>
  <c r="AE95" i="1"/>
  <c r="AI95" i="1"/>
  <c r="AI100" i="1"/>
  <c r="AE100" i="1"/>
  <c r="AE106" i="1"/>
  <c r="AI106" i="1"/>
  <c r="AE111" i="1"/>
  <c r="AI111" i="1"/>
  <c r="AI117" i="1"/>
  <c r="AE117" i="1"/>
  <c r="AI125" i="1"/>
  <c r="AE125" i="1"/>
  <c r="AE135" i="1"/>
  <c r="AI135" i="1"/>
  <c r="AI139" i="1"/>
  <c r="AE144" i="1"/>
  <c r="AI144" i="1"/>
  <c r="AE149" i="1"/>
  <c r="AI149" i="1"/>
  <c r="AE153" i="1"/>
  <c r="AI153" i="1"/>
  <c r="AE162" i="1"/>
  <c r="AI162" i="1"/>
  <c r="AE7" i="1"/>
  <c r="AI7" i="1"/>
  <c r="AE15" i="1"/>
  <c r="AI15" i="1"/>
  <c r="AE27" i="1"/>
  <c r="AI27" i="1"/>
  <c r="AE37" i="1"/>
  <c r="AI37" i="1"/>
  <c r="AE41" i="1"/>
  <c r="AI41" i="1"/>
  <c r="AE50" i="1"/>
  <c r="AI50" i="1"/>
  <c r="AI60" i="1"/>
  <c r="AE60" i="1"/>
  <c r="AI76" i="1"/>
  <c r="AE76" i="1"/>
  <c r="AE87" i="1"/>
  <c r="AE91" i="1"/>
  <c r="AI91" i="1"/>
  <c r="AI104" i="1"/>
  <c r="AE104" i="1"/>
  <c r="AI108" i="1"/>
  <c r="AE108" i="1"/>
  <c r="AE119" i="1"/>
  <c r="AI119" i="1"/>
  <c r="AE132" i="1"/>
  <c r="AI132" i="1"/>
  <c r="AI142" i="1"/>
  <c r="AE142" i="1"/>
  <c r="AI146" i="1"/>
  <c r="AE146" i="1"/>
  <c r="AI160" i="1"/>
  <c r="AE160" i="1"/>
  <c r="AE3" i="1"/>
  <c r="AI3" i="1"/>
  <c r="AE12" i="1"/>
  <c r="AI12" i="1"/>
  <c r="AI21" i="1"/>
  <c r="AE21" i="1"/>
  <c r="AE34" i="1"/>
  <c r="AI34" i="1"/>
  <c r="AE38" i="1"/>
  <c r="AI38" i="1"/>
  <c r="AI47" i="1"/>
  <c r="AE47" i="1"/>
  <c r="AE57" i="1"/>
  <c r="AI57" i="1"/>
  <c r="AE61" i="1"/>
  <c r="AI61" i="1"/>
  <c r="AI77" i="1"/>
  <c r="AE77" i="1"/>
  <c r="AE83" i="1"/>
  <c r="AI83" i="1"/>
  <c r="AI92" i="1"/>
  <c r="AI105" i="1"/>
  <c r="AE105" i="1"/>
  <c r="AI109" i="1"/>
  <c r="AE109" i="1"/>
  <c r="AE120" i="1"/>
  <c r="AI120" i="1"/>
  <c r="AI138" i="1"/>
  <c r="AE138" i="1"/>
  <c r="AE148" i="1"/>
  <c r="AI148" i="1"/>
  <c r="AE152" i="1"/>
  <c r="AI152" i="1"/>
  <c r="AI4" i="1"/>
  <c r="AE4" i="1"/>
  <c r="AI9" i="1"/>
  <c r="AE9" i="1"/>
  <c r="AI17" i="1"/>
  <c r="AE17" i="1"/>
  <c r="AI29" i="1"/>
  <c r="AE29" i="1"/>
  <c r="AE86" i="1"/>
  <c r="AI5" i="1"/>
  <c r="AE5" i="1"/>
  <c r="AI10" i="1"/>
  <c r="AE10" i="1"/>
  <c r="AI14" i="1"/>
  <c r="AE14" i="1"/>
  <c r="AE19" i="1"/>
  <c r="AI19" i="1"/>
  <c r="AE23" i="1"/>
  <c r="AI23" i="1"/>
  <c r="AI30" i="1"/>
  <c r="AE30" i="1"/>
  <c r="AI36" i="1"/>
  <c r="AE36" i="1"/>
  <c r="AI40" i="1"/>
  <c r="AE40" i="1"/>
  <c r="AI44" i="1"/>
  <c r="AE44" i="1"/>
  <c r="AE49" i="1"/>
  <c r="AI49" i="1"/>
  <c r="AI55" i="1"/>
  <c r="AE55" i="1"/>
  <c r="AI59" i="1"/>
  <c r="AE59" i="1"/>
  <c r="AI63" i="1"/>
  <c r="AE63" i="1"/>
  <c r="AI71" i="1"/>
  <c r="AE71" i="1"/>
  <c r="AI80" i="1"/>
  <c r="AE80" i="1"/>
  <c r="AI85" i="1"/>
  <c r="AE85" i="1"/>
  <c r="AE90" i="1"/>
  <c r="AI90" i="1"/>
  <c r="AI96" i="1"/>
  <c r="AE96" i="1"/>
  <c r="AE103" i="1"/>
  <c r="AI103" i="1"/>
  <c r="AE107" i="1"/>
  <c r="AI107" i="1"/>
  <c r="AI112" i="1"/>
  <c r="AE112" i="1"/>
  <c r="AI118" i="1"/>
  <c r="AE118" i="1"/>
  <c r="AE128" i="1"/>
  <c r="AI128" i="1"/>
  <c r="AE136" i="1"/>
  <c r="AI136" i="1"/>
  <c r="AE140" i="1"/>
  <c r="AI140" i="1"/>
  <c r="AE145" i="1"/>
  <c r="AI145" i="1"/>
  <c r="AI150" i="1"/>
  <c r="AE150" i="1"/>
  <c r="AE156" i="1"/>
  <c r="AI156" i="1"/>
  <c r="AI164" i="1"/>
  <c r="AB46" i="1"/>
  <c r="AB158" i="1"/>
  <c r="AB155" i="1"/>
  <c r="N147" i="1"/>
  <c r="AB147" i="1" s="1"/>
  <c r="N131" i="1"/>
  <c r="AB131" i="1" s="1"/>
  <c r="AE131" i="1" s="1"/>
  <c r="N130" i="1"/>
  <c r="AB130" i="1" s="1"/>
  <c r="N129" i="1"/>
  <c r="AB129" i="1" s="1"/>
  <c r="N127" i="1"/>
  <c r="AB127" i="1" s="1"/>
  <c r="N126" i="1"/>
  <c r="AB126" i="1" s="1"/>
  <c r="AB124" i="1"/>
  <c r="N123" i="1"/>
  <c r="AB123" i="1" s="1"/>
  <c r="N122" i="1"/>
  <c r="AB122" i="1" s="1"/>
  <c r="N121" i="1"/>
  <c r="AB121" i="1" s="1"/>
  <c r="N116" i="1"/>
  <c r="AB116" i="1" s="1"/>
  <c r="AE116" i="1" s="1"/>
  <c r="N102" i="1"/>
  <c r="AB102" i="1" s="1"/>
  <c r="N97" i="1"/>
  <c r="AE124" i="1" l="1"/>
  <c r="AI124" i="1"/>
  <c r="AE158" i="1"/>
  <c r="AI158" i="1"/>
  <c r="AI121" i="1"/>
  <c r="AE121" i="1"/>
  <c r="AE46" i="1"/>
  <c r="AI46" i="1"/>
  <c r="AE127" i="1"/>
  <c r="AI127" i="1"/>
  <c r="AI116" i="1"/>
  <c r="AI130" i="1"/>
  <c r="AE130" i="1"/>
  <c r="AI126" i="1"/>
  <c r="AE126" i="1"/>
  <c r="AI131" i="1"/>
  <c r="AI122" i="1"/>
  <c r="AE122" i="1"/>
  <c r="AI147" i="1"/>
  <c r="AE147" i="1"/>
  <c r="AE102" i="1"/>
  <c r="AI102" i="1"/>
  <c r="AI123" i="1"/>
  <c r="AI129" i="1"/>
  <c r="AE129" i="1"/>
  <c r="AI155" i="1"/>
  <c r="AE155" i="1"/>
  <c r="AB97" i="1"/>
  <c r="N94" i="1"/>
  <c r="AB94" i="1" s="1"/>
  <c r="N93" i="1"/>
  <c r="AB93" i="1" s="1"/>
  <c r="N82" i="1"/>
  <c r="AB82" i="1" s="1"/>
  <c r="AE82" i="1" s="1"/>
  <c r="N75" i="1"/>
  <c r="AB75" i="1" s="1"/>
  <c r="N74" i="1"/>
  <c r="AB74" i="1" s="1"/>
  <c r="N73" i="1"/>
  <c r="AB73" i="1" s="1"/>
  <c r="N70" i="1"/>
  <c r="AB70" i="1" s="1"/>
  <c r="N69" i="1"/>
  <c r="AB69" i="1" s="1"/>
  <c r="N66" i="1"/>
  <c r="AB66" i="1" s="1"/>
  <c r="N64" i="1"/>
  <c r="AE74" i="1" l="1"/>
  <c r="AI74" i="1"/>
  <c r="AE75" i="1"/>
  <c r="AI75" i="1"/>
  <c r="AI82" i="1"/>
  <c r="AE66" i="1"/>
  <c r="AI66" i="1"/>
  <c r="AE94" i="1"/>
  <c r="AI94" i="1"/>
  <c r="AE69" i="1"/>
  <c r="AI69" i="1"/>
  <c r="AI97" i="1"/>
  <c r="AE97" i="1"/>
  <c r="AE70" i="1"/>
  <c r="AI70" i="1"/>
  <c r="AI73" i="1"/>
  <c r="AE73" i="1"/>
  <c r="AI93" i="1"/>
  <c r="AE93" i="1"/>
  <c r="N165" i="1"/>
  <c r="B4" i="5" s="1"/>
  <c r="B5" i="5" s="1"/>
  <c r="AB64" i="1"/>
  <c r="G103" i="2"/>
  <c r="G102" i="2"/>
  <c r="G101" i="2"/>
  <c r="G100" i="2"/>
  <c r="G99" i="2"/>
  <c r="G98" i="2"/>
  <c r="G97" i="2"/>
  <c r="G96" i="2"/>
  <c r="G95" i="2"/>
  <c r="G94" i="2"/>
  <c r="G93" i="2"/>
  <c r="G92" i="2"/>
  <c r="G91" i="2"/>
  <c r="G90" i="2"/>
  <c r="G89" i="2"/>
  <c r="G88" i="2"/>
  <c r="G85"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5" i="2"/>
  <c r="G44" i="2"/>
  <c r="G43" i="2"/>
  <c r="G42" i="2"/>
  <c r="I41" i="2"/>
  <c r="I47" i="2" s="1"/>
  <c r="H41" i="2"/>
  <c r="H47" i="2" s="1"/>
  <c r="G40" i="2"/>
  <c r="G41" i="2" s="1"/>
  <c r="E40" i="2"/>
  <c r="H38" i="2"/>
  <c r="G38" i="2"/>
  <c r="I36" i="2"/>
  <c r="I38" i="2" s="1"/>
  <c r="H32" i="2"/>
  <c r="G31" i="2"/>
  <c r="G30" i="2"/>
  <c r="I29" i="2"/>
  <c r="G29" i="2"/>
  <c r="I28" i="2"/>
  <c r="G28" i="2"/>
  <c r="I27" i="2"/>
  <c r="G27" i="2"/>
  <c r="G26" i="2"/>
  <c r="G25" i="2"/>
  <c r="G24" i="2"/>
  <c r="I23" i="2"/>
  <c r="G23" i="2"/>
  <c r="I22" i="2"/>
  <c r="G22" i="2"/>
  <c r="H21" i="2"/>
  <c r="E21" i="2"/>
  <c r="I20" i="2"/>
  <c r="G20" i="2"/>
  <c r="I19" i="2"/>
  <c r="G19" i="2"/>
  <c r="G18" i="2"/>
  <c r="I17" i="2"/>
  <c r="G17" i="2"/>
  <c r="I16" i="2"/>
  <c r="G16" i="2"/>
  <c r="I15" i="2"/>
  <c r="G15" i="2"/>
  <c r="I14" i="2"/>
  <c r="G14" i="2"/>
  <c r="I13" i="2"/>
  <c r="G13" i="2"/>
  <c r="I12" i="2"/>
  <c r="G12" i="2"/>
  <c r="I11" i="2"/>
  <c r="G11" i="2"/>
  <c r="I10" i="2"/>
  <c r="G10" i="2"/>
  <c r="I9" i="2"/>
  <c r="G9" i="2"/>
  <c r="I8" i="2"/>
  <c r="G8" i="2"/>
  <c r="I7" i="2"/>
  <c r="G7" i="2"/>
  <c r="I6" i="2"/>
  <c r="G6" i="2"/>
  <c r="I5" i="2"/>
  <c r="G5" i="2"/>
  <c r="I4" i="2"/>
  <c r="G2" i="2"/>
  <c r="G46" i="2" l="1"/>
  <c r="G47" i="2" s="1"/>
  <c r="AC1" i="1"/>
  <c r="AI64" i="1"/>
  <c r="AE64" i="1"/>
  <c r="I32" i="2"/>
  <c r="G32" i="2"/>
  <c r="I21" i="2"/>
  <c r="AB1" i="1"/>
  <c r="G21" i="2"/>
  <c r="G104" i="2" s="1"/>
  <c r="AE1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presupuesto</author>
  </authors>
  <commentList>
    <comment ref="AE99" authorId="0" shapeId="0" xr:uid="{00000000-0006-0000-0000-000001000000}">
      <text>
        <r>
          <rPr>
            <b/>
            <sz val="9"/>
            <color indexed="81"/>
            <rFont val="Tahoma"/>
            <family val="2"/>
          </rPr>
          <t>RECURSOS PARA TRASLADO POR ACUERDO</t>
        </r>
      </text>
    </comment>
    <comment ref="AI99" authorId="0" shapeId="0" xr:uid="{00000000-0006-0000-0000-000002000000}">
      <text>
        <r>
          <rPr>
            <b/>
            <sz val="9"/>
            <color indexed="81"/>
            <rFont val="Tahoma"/>
            <family val="2"/>
          </rPr>
          <t>RECURSOS PARA TRASLADO POR ACUERDO</t>
        </r>
      </text>
    </comment>
    <comment ref="AE104" authorId="0" shapeId="0" xr:uid="{00000000-0006-0000-0000-000003000000}">
      <text>
        <r>
          <rPr>
            <b/>
            <sz val="9"/>
            <color indexed="81"/>
            <rFont val="Tahoma"/>
            <family val="2"/>
          </rPr>
          <t>RECURSOS PARA TRASLADO POR ACUERDO</t>
        </r>
        <r>
          <rPr>
            <sz val="9"/>
            <color indexed="81"/>
            <rFont val="Tahoma"/>
            <family val="2"/>
          </rPr>
          <t xml:space="preserve">
</t>
        </r>
      </text>
    </comment>
    <comment ref="AI104" authorId="0" shapeId="0" xr:uid="{00000000-0006-0000-0000-000004000000}">
      <text>
        <r>
          <rPr>
            <b/>
            <sz val="9"/>
            <color indexed="81"/>
            <rFont val="Tahoma"/>
            <family val="2"/>
          </rPr>
          <t>RECURSOS PARA TRASLADO POR ACUERDO</t>
        </r>
      </text>
    </comment>
    <comment ref="AB142" authorId="0" shapeId="0" xr:uid="{00000000-0006-0000-0000-000005000000}">
      <text>
        <r>
          <rPr>
            <b/>
            <sz val="9"/>
            <color indexed="81"/>
            <rFont val="Tahoma"/>
            <family val="2"/>
          </rPr>
          <t>SACAR 2.000.000 PARA ACUERDO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K3" authorId="0" shapeId="0" xr:uid="{00000000-0006-0000-0100-000001000000}">
      <text>
        <r>
          <rPr>
            <b/>
            <sz val="12"/>
            <color indexed="81"/>
            <rFont val="Tahoma"/>
            <family val="2"/>
          </rPr>
          <t>OAP: Seleccione una opción de lo que se encuentra en la lista</t>
        </r>
        <r>
          <rPr>
            <sz val="9"/>
            <color indexed="81"/>
            <rFont val="Tahoma"/>
            <family val="2"/>
          </rPr>
          <t xml:space="preserve">
</t>
        </r>
      </text>
    </comment>
    <comment ref="M3" authorId="0" shapeId="0" xr:uid="{00000000-0006-0000-0100-000002000000}">
      <text>
        <r>
          <rPr>
            <b/>
            <sz val="12"/>
            <color indexed="81"/>
            <rFont val="Tahoma"/>
            <family val="2"/>
          </rPr>
          <t>OAP:Los contratos de prestación de servicios deben registrarse con el mismo valor del año 2020 (Sin incremento) y detallando el valor mensual por el número de meses. Por ejemplo: =3000000*11</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Martha del Pilar Gomez</author>
  </authors>
  <commentList>
    <comment ref="H1" authorId="0" shapeId="0" xr:uid="{00000000-0006-0000-0400-000001000000}">
      <text>
        <r>
          <rPr>
            <b/>
            <sz val="9"/>
            <color indexed="81"/>
            <rFont val="Tahoma"/>
            <family val="2"/>
          </rPr>
          <t xml:space="preserve">OAP: Se sugiere valor promedio tiquete $800,000
</t>
        </r>
        <r>
          <rPr>
            <sz val="9"/>
            <color indexed="81"/>
            <rFont val="Tahoma"/>
            <family val="2"/>
          </rPr>
          <t xml:space="preserve">
</t>
        </r>
      </text>
    </comment>
  </commentList>
</comments>
</file>

<file path=xl/sharedStrings.xml><?xml version="1.0" encoding="utf-8"?>
<sst xmlns="http://schemas.openxmlformats.org/spreadsheetml/2006/main" count="4124" uniqueCount="827">
  <si>
    <t>CCP</t>
  </si>
  <si>
    <t>Proyecto de inversión</t>
  </si>
  <si>
    <t>CPA</t>
  </si>
  <si>
    <t>Meta Plan Estratégico</t>
  </si>
  <si>
    <t>Proceso Responsable</t>
  </si>
  <si>
    <t>CÓDIGO UNSPSC</t>
  </si>
  <si>
    <t>Descripción del contrato</t>
  </si>
  <si>
    <t xml:space="preserve">Fecha estimada de inicio de proceso de selección </t>
  </si>
  <si>
    <t>Fecha estimada de presentación de ofertas (Número del mes)</t>
  </si>
  <si>
    <t>Duración estimada del contrato (Número de meses)</t>
  </si>
  <si>
    <t>Duración estimada del contrato (intervalo: días, meses, años)</t>
  </si>
  <si>
    <t xml:space="preserve">Modalidad de selección </t>
  </si>
  <si>
    <t>Fuente de los Recursos</t>
  </si>
  <si>
    <t>Valor estimado en la vigencia actual 
(Valor inicial)</t>
  </si>
  <si>
    <t>¿Se requieren vigencias futuras?</t>
  </si>
  <si>
    <t>Estado de solicitud de vigencias futuras</t>
  </si>
  <si>
    <t>Unidad de contratación</t>
  </si>
  <si>
    <t>Ubicación</t>
  </si>
  <si>
    <t xml:space="preserve">Nombre del responsable </t>
  </si>
  <si>
    <t xml:space="preserve">Teléfono del responsable </t>
  </si>
  <si>
    <t xml:space="preserve">Correo electrónico del responsable </t>
  </si>
  <si>
    <t>Tipo de rubro de gasto</t>
  </si>
  <si>
    <t>Tipo de objeto de Gasto</t>
  </si>
  <si>
    <t>Nombre del Supervisor</t>
  </si>
  <si>
    <t xml:space="preserve">Crear </t>
  </si>
  <si>
    <t>Aumentar</t>
  </si>
  <si>
    <t>Reducir</t>
  </si>
  <si>
    <t>Valor real del contrato</t>
  </si>
  <si>
    <t># CDP</t>
  </si>
  <si>
    <t xml:space="preserve">Valor Utilizado CDP </t>
  </si>
  <si>
    <t xml:space="preserve">Saldo CDP </t>
  </si>
  <si>
    <t># RP</t>
  </si>
  <si>
    <t xml:space="preserve">Fecha del RP </t>
  </si>
  <si>
    <t xml:space="preserve">Valor Utilizado RP </t>
  </si>
  <si>
    <t xml:space="preserve">Saldo RP 
 </t>
  </si>
  <si>
    <t>Número del Contrato asociado</t>
  </si>
  <si>
    <t xml:space="preserve">Nombre Tercero </t>
  </si>
  <si>
    <t xml:space="preserve">OBLIGADO
</t>
  </si>
  <si>
    <t>OBSERVACIONES</t>
  </si>
  <si>
    <t>C-2203-0700-5-0-2203003-02</t>
  </si>
  <si>
    <t>PROYECTO MEJORAMIENTO DE LAS CONDICIONES PARA LA GARANTÍA DE LOS DERECHOS DE LAS PERSONAS CON DISCAPACIDAD VISUAL EN EL PAÍS</t>
  </si>
  <si>
    <t>MC-01</t>
  </si>
  <si>
    <t>Brindar asistencia técnica en educación a las entidades territoriales certificadas para  el mejoramiento de los procesos de atención de las personas con discapacidad visual</t>
  </si>
  <si>
    <t xml:space="preserve">Asistencia Técnica
</t>
  </si>
  <si>
    <t>Prestación de servicios de apoyo a la gestión, brindando asistencia técnica en actividades relativas a la asesoria y acompañamiento a la IE para atención educativa con estudiantes con D.V. en el marco del proyecto de mejoramiento de condiciones para la garantía de los derechos de las personas con discapacidad visual del país. 1</t>
  </si>
  <si>
    <t>Contratación directa</t>
  </si>
  <si>
    <t>NACION</t>
  </si>
  <si>
    <t>Gestión Contractual</t>
  </si>
  <si>
    <t>Bogotá, D.C.</t>
  </si>
  <si>
    <t>Pedro Andrade</t>
  </si>
  <si>
    <t>subdireccion@inci.gov.co</t>
  </si>
  <si>
    <t>INVERSIÓN</t>
  </si>
  <si>
    <t>CONTRATO  PRESTACIÓN SERVICIOS PROFESIONALES</t>
  </si>
  <si>
    <t>039-2021</t>
  </si>
  <si>
    <t>GARZON RAMOS MARIA NELSY</t>
  </si>
  <si>
    <t>Prestación de servicios de apoyo a la gestión, brindando asistencia técnica en actividades relativas a la asesoria y acompañamiento a la IE para atención educativa con estudiantes con D.V. en el marco del proyecto de mejoramiento de condiciones para la garantía de los derechos de las personas con discapacidad visual del país. 2</t>
  </si>
  <si>
    <t>040-2021</t>
  </si>
  <si>
    <t>PIRACUN CELI OSCAR NICOLAS</t>
  </si>
  <si>
    <t>Prestación de servicios de apoyo a la gestión, brindando asistencia técnica en actividades relativas a la asesoria y acompañamiento a la IE para atención educativa con estudiantes con D.V. en el marco del proyecto de mejoramiento de condiciones para la garantía de los derechos de las personas con discapacidad visual del país. 3</t>
  </si>
  <si>
    <t>2
Se modifica a 6</t>
  </si>
  <si>
    <t>2
Se modifica a 7</t>
  </si>
  <si>
    <t>10
Se modifica a 165 días</t>
  </si>
  <si>
    <t>Circular No 2</t>
  </si>
  <si>
    <t xml:space="preserve">Prestación de servicios profesionales para la construcción y publicación de documentos de interés para la población con discapacidad visual </t>
  </si>
  <si>
    <t>165   días</t>
  </si>
  <si>
    <t>No aplica</t>
  </si>
  <si>
    <t>Viáticos para el desarrollo de las comisiones de los servidores públicos del INCI en ejercicio de sus funciones</t>
  </si>
  <si>
    <t>No es contrato</t>
  </si>
  <si>
    <t>VIÁTICOS</t>
  </si>
  <si>
    <t xml:space="preserve">Tiquetes terrestres para el desplazamiento de los servidores públicos del INCI para el ejercicio de sus funciones  </t>
  </si>
  <si>
    <t>TIQUETE TERRESTRE</t>
  </si>
  <si>
    <t>Brindar asesoría a entidades públicas y privadas que generen condiciones de accesibilidad al espacio físico, a la información y al uso de tecnología especializada para las personas con discapacidad visual</t>
  </si>
  <si>
    <t>Prestar de servicios de apoyo a la gestión,brindando asistencia técnica en actividades relativas a la accesibilidad web y tecnología especializada, en el marco del proyecto de mejoramiento de condiciones para la garantía de los derechos de las personas con discapacidad visual del país</t>
  </si>
  <si>
    <t>CONTRATO PRESTACIÓN SERVICIOS (Técnico)</t>
  </si>
  <si>
    <t>Santiago Rodriguez</t>
  </si>
  <si>
    <t>042-2021</t>
  </si>
  <si>
    <t>LOPEZ RONIS</t>
  </si>
  <si>
    <t>Prestar servicios de apoyo a la gestión, brindando asistencia técnica en actividades relativas a la accesibilidad al medio físico, en el marco del  proyecto  mejoramiento de las condiciones para la  garantía de los derechos de las personas con discapacidad visual del país.</t>
  </si>
  <si>
    <t>019-2021</t>
  </si>
  <si>
    <t>MONTOYA GACHARNA MARIA PAULA</t>
  </si>
  <si>
    <t>Asesorar a las instancias competentes para promover la empleabilidad de las personas con discapacidad visual</t>
  </si>
  <si>
    <t>Prestación de servicios de apoyo a la gestión, brindando asistencia técnica y acompañamiento a las entidades en actividades relativas a la empleabilidad de las personas con D.V., en el marco del proyecto de mejoramiento de condiciones para la garantía de los derechos de las personas con discapacidad visual del país.</t>
  </si>
  <si>
    <t>Rosario Yepes</t>
  </si>
  <si>
    <t>018-2021</t>
  </si>
  <si>
    <t>VALBUENA PACHON ALEIDA MARCELA</t>
  </si>
  <si>
    <t>Contrato de asosiación de capacitación en habilidades blandas para la población con D.V.,  en el marco del proyecto de mejoramiento de condiciones para la garantía de los derechos de las personas con discapacidad visual del país.</t>
  </si>
  <si>
    <t>SERVICIO</t>
  </si>
  <si>
    <t>Desarrollar campañas de comunicación relacionadas con la temática de discapacidad visual y el quehacer institucional</t>
  </si>
  <si>
    <t>Comunicaciones</t>
  </si>
  <si>
    <t>Contratación de servicios profesionales para el diseño, construcción y administración de los canales digitales de comunicación del INCI</t>
  </si>
  <si>
    <t>Juan Esteban Gómez</t>
  </si>
  <si>
    <t>025-2021</t>
  </si>
  <si>
    <t>MORENO VARGAS WILLIAM ALIRIO</t>
  </si>
  <si>
    <r>
      <t xml:space="preserve">Contratación de servicios profesionales para conseguir free press y la visualización de los mensajes institucionales en medios </t>
    </r>
    <r>
      <rPr>
        <sz val="11"/>
        <color theme="1"/>
        <rFont val="Arial"/>
        <family val="2"/>
      </rPr>
      <t>de comunicación.</t>
    </r>
  </si>
  <si>
    <t>023-2021</t>
  </si>
  <si>
    <t>CANO ALBORNOZ MARTHA PATRICIA</t>
  </si>
  <si>
    <t>Contratación de servicios profesionales para el diseño de piezas gráficas para los medios Institucionales</t>
  </si>
  <si>
    <t>024-2021</t>
  </si>
  <si>
    <t>PINZÓN PACANCHIQUE VIVIANA MARCELA</t>
  </si>
  <si>
    <t>C-2203-0700-5-0-2203018-02</t>
  </si>
  <si>
    <t>MC-02</t>
  </si>
  <si>
    <t>Producir y emitir contenidos radiales para promover la inclusión de las personas con discapacidad visual</t>
  </si>
  <si>
    <t>Producción radial y audiovisual</t>
  </si>
  <si>
    <t xml:space="preserve">Prestar servicios tecnólogicos y de apoyo a la gestión para llevar a cabo la locución y producción de contenidos radiales y web sobre los derechos de la población con discapacidad visual, de la programación de la emisora virtual INCIRadio."   
</t>
  </si>
  <si>
    <t xml:space="preserve">CONTRATO  PRESTACIÓN SERVICIOS </t>
  </si>
  <si>
    <t>Henry Díaz</t>
  </si>
  <si>
    <t>011-2021</t>
  </si>
  <si>
    <t>NICOLAS  MONROY SANZ</t>
  </si>
  <si>
    <t>Contratación de prestación de servicios profesionales para producción general y locución de contenidos radiales sobre los derechos de la población con discapacidad visual</t>
  </si>
  <si>
    <t>26-01.2021</t>
  </si>
  <si>
    <t>014-2021</t>
  </si>
  <si>
    <t>ADRIANA CATALINA PARDO GARCIA</t>
  </si>
  <si>
    <t>Prestación de servicios para el apoyo de producción radial, página web y contenidos web de la emisora INCI Radio</t>
  </si>
  <si>
    <t>013-2021</t>
  </si>
  <si>
    <t>CARLOS EDUARDO QUINTERO CALDERON</t>
  </si>
  <si>
    <t>Prestación de servicios para el apoyo de producción radial, redes sociales y contenidos web de la emisora INCI Radio</t>
  </si>
  <si>
    <t>012-2021</t>
  </si>
  <si>
    <t>CAMILO ANDRES GARNICA COBA</t>
  </si>
  <si>
    <t>Desarrollar talleres especializados en temas relacionados con la discapacidad visual</t>
  </si>
  <si>
    <t xml:space="preserve">Centro Cultural
</t>
  </si>
  <si>
    <t>Contratación de intérpretes y guías intérpretes para fortalecer la atención y participación de las personas sordas y sordociegas en las actividades y servicios del INCI</t>
  </si>
  <si>
    <t>PROPIOS 20</t>
  </si>
  <si>
    <t>Eliana Uribe</t>
  </si>
  <si>
    <t>Circular No 1
Circular No 2</t>
  </si>
  <si>
    <t>Producir y publicar en formatos accesibles documentos para personas con discapacidad visual</t>
  </si>
  <si>
    <t xml:space="preserve">Prestación de servicios de apoyo a la gestión, para la elaboración de textos en formatos accesibles </t>
  </si>
  <si>
    <t>Jhon Jairo Jiménez</t>
  </si>
  <si>
    <t>027-2021</t>
  </si>
  <si>
    <t>CHVES JARRO CLAUDIA LILIANA</t>
  </si>
  <si>
    <t>Circular No 1</t>
  </si>
  <si>
    <t>029-2021</t>
  </si>
  <si>
    <t>DIANA GUIOMAR BOLIVAR RODRIGUEZ</t>
  </si>
  <si>
    <t>Cristian Ospina</t>
  </si>
  <si>
    <t>028-2021</t>
  </si>
  <si>
    <t>GRAJALES SALINAS FREDDY ALEXANDER</t>
  </si>
  <si>
    <t>Prestación de servicios de apoyo a la gestión para la administración de la biblioteca virtual para ciegos.</t>
  </si>
  <si>
    <t xml:space="preserve">Enrique King </t>
  </si>
  <si>
    <t>015-2021</t>
  </si>
  <si>
    <t>WILLIAM JOHAN GUTIERREZ RODRIGUEZ</t>
  </si>
  <si>
    <t>Realizar exposiciones para personas con discapacidad visual y público en general en la sala multisensorial</t>
  </si>
  <si>
    <t xml:space="preserve">Prestación de servicios de apoyo a la gestión para promover la inclusión sociocultural de las personas con discapacidad visual. </t>
  </si>
  <si>
    <t>016-2021</t>
  </si>
  <si>
    <t>SILVANA VANESSA YOSHIKO DOKU AHUMADA</t>
  </si>
  <si>
    <t>Dotar instituciones que atiendan personas con discapacidad visual con libros y textos en braille y material en relieve y macrotipo</t>
  </si>
  <si>
    <t>Administrativo</t>
  </si>
  <si>
    <t>Contratar los servicios de recolección, curso y entrega de correo, correspondencia y demás servicios postales que requiera el INCI, en las modalidades de correo normal, certificado, urbano nacional e internacional, dirigido con prueba de entrega urbano y nacional; servicio Post- Express a nivel urbano y nacional.</t>
  </si>
  <si>
    <t>Darío Montañez</t>
  </si>
  <si>
    <t>secretariageneral@inci.gov.co</t>
  </si>
  <si>
    <t xml:space="preserve">Paula Castaño </t>
  </si>
  <si>
    <t>28/06/2021</t>
  </si>
  <si>
    <t>057-2021</t>
  </si>
  <si>
    <t>SERVICIOS POSTALES NACIONALES S.A. – 4-72_x000D_</t>
  </si>
  <si>
    <t>Adm inistrativo</t>
  </si>
  <si>
    <t xml:space="preserve">Disponer de material, productos y ayudas para la adquisición por parte de las  personas con discapacidad visual </t>
  </si>
  <si>
    <t xml:space="preserve">Unidades Productivas
</t>
  </si>
  <si>
    <t>42211700;
42211702;
44101800;
44101802;
44101803</t>
  </si>
  <si>
    <t xml:space="preserve">Adquisición de productos y materiales especializados para personas con discapacidad visual con el propósito de abastecer la  Tienda INCI </t>
  </si>
  <si>
    <t>Menor Cuantía</t>
  </si>
  <si>
    <t>SUMINISTRO</t>
  </si>
  <si>
    <t>Laura Caballero</t>
  </si>
  <si>
    <t xml:space="preserve">Transcribir e imprimir libros, textos y material para las personas con discapacidad visual </t>
  </si>
  <si>
    <t>Contratación de prestación de servicios de apoyo a la gestión para el área de acabados en la imprenta Nacional para Ciegos 1</t>
  </si>
  <si>
    <t>345 días</t>
  </si>
  <si>
    <t>Ana Patricia Hormaza</t>
  </si>
  <si>
    <t>004-2021</t>
  </si>
  <si>
    <t>MORANTES GARCIA MYRIAN HORTENCIA</t>
  </si>
  <si>
    <t>Contratación de prestación de servicios de apoyo a la gestión para el área de acabados en la imprenta Nacional para Ciegos 2</t>
  </si>
  <si>
    <t>005-2021</t>
  </si>
  <si>
    <t>CASTRO RODRIGUEZ MARIA AURORA</t>
  </si>
  <si>
    <t xml:space="preserve">Contratación de prestación de servicios de apoyo a la gestión para el manejo de máquinas de impresión en braille, corte y grabado láser de la imprenta Nacional para Ciegos </t>
  </si>
  <si>
    <t>020-2021</t>
  </si>
  <si>
    <t>MENDOZA DURAN IVAN FELIPE</t>
  </si>
  <si>
    <t>82111604;
81141701</t>
  </si>
  <si>
    <t xml:space="preserve">Contratación de prestación de servicios profesionales para realizar diagramación, transcripción y diseño de productos en la imprenta nacional para ciegos </t>
  </si>
  <si>
    <t>006-2021</t>
  </si>
  <si>
    <t>BALLEN SANCHEZ EDGAR MAURICIO</t>
  </si>
  <si>
    <t>82111604;
82141502</t>
  </si>
  <si>
    <t xml:space="preserve">Contratación de prestación de servicios de apoyo a la gestión  para realizar diagramación, transcripción, diseño de productos y manejo de máquinasde impresión braille UV LED, impresión braille y digital en la imprenta nacional para ciegos </t>
  </si>
  <si>
    <t>021-2021</t>
  </si>
  <si>
    <t>MERCHAN RIOS OSCAR ANDRES</t>
  </si>
  <si>
    <t xml:space="preserve">Contratación de prestación de servicios profesionales en actividades  administrativas, mercadeo y producción en la imprenta nacional para ciegos </t>
  </si>
  <si>
    <t>003-2021</t>
  </si>
  <si>
    <t>ESPITIA POVEDA JULY CATHERINE
HERRERA TORRES DANIEL</t>
  </si>
  <si>
    <t xml:space="preserve">Contratación de servicios  de apoyo a la gestion (6 personas) para la imprenta Nacional para Ciegos (elecciones Juventud) </t>
  </si>
  <si>
    <t>Adquisición de papel para realizar la producción de impresos en tinta braille en la imprenta</t>
  </si>
  <si>
    <t>44122117;
44103103</t>
  </si>
  <si>
    <t>Adquisición de insumos para la producción en la imprenta nacional para ciegos (anillos, toner, pegantes,  acirilicos, cintas…)</t>
  </si>
  <si>
    <t>13102030;
13111045;
60121015</t>
  </si>
  <si>
    <t xml:space="preserve">Mantenimiento de Software de costeo </t>
  </si>
  <si>
    <t>Mínima Cuantía</t>
  </si>
  <si>
    <t>73152101;
73152102;
73152103;
81101707</t>
  </si>
  <si>
    <t xml:space="preserve">Contratación de mantenimiento de las impresoras digitales Ricoh de la imprenta Nacional para Ciegos </t>
  </si>
  <si>
    <t>73152101;
73152102;
73152103; 
81101707</t>
  </si>
  <si>
    <t xml:space="preserve">Contratación de mantenimiento preventivo y correctivo de las Máquinas Offset de la Imprenta Nacional para Ciegos </t>
  </si>
  <si>
    <t xml:space="preserve">Contratación de mantenimiento de la máquina PED de la imprenta Nacional para Ciegos </t>
  </si>
  <si>
    <t xml:space="preserve">Contratación de mantenimiento de las maquinas Index de la imprenta Nacional para Ciegos </t>
  </si>
  <si>
    <t>Contratación de mantenimiento de  máquina de señalización (impresora cama plana UV LED) y máquina de corte laser ubicada en la Imprenta Nacional para Ciegos</t>
  </si>
  <si>
    <t>23153412;
45101705;
45101704</t>
  </si>
  <si>
    <t>Adquisición de guillotinas y perfiladora de láminas de zinc y acrílicos</t>
  </si>
  <si>
    <t>EQUIPOS</t>
  </si>
  <si>
    <t>43212107;
60121301</t>
  </si>
  <si>
    <t>Adquisición de plotter de corte para autoadhesivos</t>
  </si>
  <si>
    <t>C-2203-0700-5-0-2203016-02</t>
  </si>
  <si>
    <t>MC-03</t>
  </si>
  <si>
    <t>Desarrollar ejercicios de investigación para mejorar las condiciones de inclusión de las personas con discapacidad visual</t>
  </si>
  <si>
    <t>80111621</t>
  </si>
  <si>
    <t>Contratación de entidad para el desarrollo de investigación, en el marco del proyecto de mejoramiento de condiciones para la garantía de los derechos de las personas con discapacidad visual del país.</t>
  </si>
  <si>
    <t>Contrato interadministrativo</t>
  </si>
  <si>
    <t>Miryam Herrera</t>
  </si>
  <si>
    <t>Gestionar documentos de propuestas normativas para hacer efectivos los derechos de las personas con discapacidad visual</t>
  </si>
  <si>
    <t>Contrato de prestación de servicios profesionales para la gestión de propuestas normativas en beneficio de las personas con discapacidad visual</t>
  </si>
  <si>
    <t>041-2021</t>
  </si>
  <si>
    <t>ROSAS DIAZ CAROLINA</t>
  </si>
  <si>
    <t xml:space="preserve">Promover y asesorar a organizaciones sociales y  otros colectivos de personas con discapacidad, para  la participación y el ejercicio de sus derechos </t>
  </si>
  <si>
    <t xml:space="preserve">Prestación de servicios de apoyo en el tema de fortalecimiento organizacional y  otros colectivos de personas con discapacidad  para  la participación y el ejercicio de sus derechos </t>
  </si>
  <si>
    <t>046-2021</t>
  </si>
  <si>
    <t>VILLABONA RAMIREZ HERMANN LEONARDO</t>
  </si>
  <si>
    <t>Prestación de servicios de apoyo a la gestión, brindando asistencia técnica y acompañamiento a las organizaciones y personas con D.V. , en el marco del proyecto de mejoramiento de condiciones para la garantía de los derechos de las personas con discapacidad visual del país.</t>
  </si>
  <si>
    <t>017-2021</t>
  </si>
  <si>
    <t>VILLAMIZAR NELSON JULIAN</t>
  </si>
  <si>
    <t>Convenio de asociación con la Federación Colombiana de Organizaciones de Personas con Discapacidad Visual –FECODIV para el fortalecimiento de la participación de las personas con discapacidad visual</t>
  </si>
  <si>
    <t>CONVENIO</t>
  </si>
  <si>
    <t>C-2299-0700-3-0-2299052-02</t>
  </si>
  <si>
    <t>PROYECTO FORTALECIMIENTO DE PROCESOS Y RECURSOS DEL INCI PARA CONTRIBUIR CON EL MEJORAMIENTO DE SERVICIOS A LAS PERSONAS CON DISCAPACIDAD VISUAL</t>
  </si>
  <si>
    <t>FP-02</t>
  </si>
  <si>
    <t>Implementar los instrumentos archivísticos en la entidad</t>
  </si>
  <si>
    <t>Gestión Documental</t>
  </si>
  <si>
    <t xml:space="preserve">Prestar sus servicios como tecnólogo en gestión documental, apoyando la ejecución de las diferentes actividades administrativas y técnicas que le atañen al proceso de gestión documental del Instituto Nacional para Ciegos – INCI </t>
  </si>
  <si>
    <t xml:space="preserve">CONTRATO PRESTACIÓN DE SERVICIOS </t>
  </si>
  <si>
    <t>Luz Hedy Ortiz</t>
  </si>
  <si>
    <t>034-2021</t>
  </si>
  <si>
    <t>FANNY EDITH QUIROGA ORTIZ</t>
  </si>
  <si>
    <t>Contrato para la adquisición de mobiliario para garantizar la conservación del patrimonio documental del archivo del INCI</t>
  </si>
  <si>
    <t>MATERIALES</t>
  </si>
  <si>
    <t>Actualizar y ejecutar el programa de gestión documental</t>
  </si>
  <si>
    <t>Prestar servicios de apoyo a la gestión documental, para el cumplimiento de las metas y compromisos establecidos en los Planes y Programas del Proceso de Gestión Documental del Instituto Nacional para Ciegos – INCI.</t>
  </si>
  <si>
    <t>033-2021</t>
  </si>
  <si>
    <t>IVAN FELIPE PARADA RUIZ</t>
  </si>
  <si>
    <t>C-2299-0700-3-0-2299058-02</t>
  </si>
  <si>
    <t>FP-03</t>
  </si>
  <si>
    <t>Ejecutar el Programa de Bienestar para contribuir al mejoramiento de la Calidad de Vida de los servidores de la entidad</t>
  </si>
  <si>
    <t>Gestión Humana</t>
  </si>
  <si>
    <t>Contratar servicio de salud ocupacional y laboral</t>
  </si>
  <si>
    <t>Andrea Cuadros</t>
  </si>
  <si>
    <t>Fortalecer las capacidades, conocimientos y habilidades de los servidores en el puesto de trabajo, a través de la implementación del Plan Institucional de Capacitación</t>
  </si>
  <si>
    <t>86101705;
86101810</t>
  </si>
  <si>
    <t>Contrato de prestación de servicios para fortalecer las capacidades, conocimientos y habilidades de los servidores públicos</t>
  </si>
  <si>
    <t>C-2299-0700-3-0-2299060-02</t>
  </si>
  <si>
    <t>FP-04</t>
  </si>
  <si>
    <t>Implementar el Sistema de Gestión y Seguridad en el Trabajo</t>
  </si>
  <si>
    <t>Contratar la prestación de servicios para apoyar el desarrollo del Programa de Bienestar, el Plan Integral de Capacitación, el Sistema de Gestión de Seguridad y Salud en el Trabajo (SG-SST) y demás procesos relacionados con la dependencia de Gestión Humana del Instituto Nacional para Ciegos – INCI</t>
  </si>
  <si>
    <t>009-2021</t>
  </si>
  <si>
    <t>MARIA JOSE MARQUEZ GONZALEZ</t>
  </si>
  <si>
    <t>Implementar  el Modelo Integrado de Planeación y Gestión en el INCI</t>
  </si>
  <si>
    <t>Contratación de prestación  de servicios profesionales para la actualización del Manual de Funciones</t>
  </si>
  <si>
    <t>Direccionamiento Estratégico</t>
  </si>
  <si>
    <t>Contratatación de Consultoría para el fortalecimiento de las políticas del Modelo Integrado de Planeción y Gestión (estadística y normativa)</t>
  </si>
  <si>
    <t>Ricardo Hernández</t>
  </si>
  <si>
    <t>planeacion@inci.gov.co</t>
  </si>
  <si>
    <t xml:space="preserve">Evaluación y Mejoramiento </t>
  </si>
  <si>
    <t>Contratación de prestación de servicios como apoyo a la Oficina de control interno</t>
  </si>
  <si>
    <t>controlinterno@inci.gov.co</t>
  </si>
  <si>
    <t>Gestión Jurídica</t>
  </si>
  <si>
    <t>Contrato de prestación de servicios profesionales para la defensa jurídica que adelanta la Oficina Asesora Jurídica del Instituto Nacional para Ciegos, INCI.</t>
  </si>
  <si>
    <t>Diego Sánchez</t>
  </si>
  <si>
    <t>juridica@inci.gov.co</t>
  </si>
  <si>
    <t>002-2021</t>
  </si>
  <si>
    <t>CASTELLANOS BOHORQUEZ MAYRA ALEJANDRA</t>
  </si>
  <si>
    <t>C-2299-0700-3-0-2299062-02</t>
  </si>
  <si>
    <t>FP-05</t>
  </si>
  <si>
    <t>Actualizar la plataforma tecnológica de la entidad</t>
  </si>
  <si>
    <t>Informática y Tecnología</t>
  </si>
  <si>
    <t>Contratación de prestación de servicio para soporte y actualización de licencia IOS aplicaciones del INCI y plataforma de learning</t>
  </si>
  <si>
    <t>Carlos Supanteve</t>
  </si>
  <si>
    <t>036-2021</t>
  </si>
  <si>
    <t>DAVID HERNANDO BELLO LADINO</t>
  </si>
  <si>
    <t xml:space="preserve">Contratación de prestación de servicio para soporte y mantenimiento de la página web, el aplicativo de asistencia técnica </t>
  </si>
  <si>
    <t>038-2021</t>
  </si>
  <si>
    <t>PABLO ERNESTO VILLATE LEON</t>
  </si>
  <si>
    <t>Servicio de Streaming para la Emisora Virtual INCI Radio, del Instituto Nacional para Ciegos</t>
  </si>
  <si>
    <t>Lady Hoyos</t>
  </si>
  <si>
    <t>044-2021</t>
  </si>
  <si>
    <t>COLOMBIAWEBS GROUP SAS</t>
  </si>
  <si>
    <t>Adquisición de licenciamiento microsoft office 365 para los equipos de cómputo del INCI</t>
  </si>
  <si>
    <t>Selección abreviada- Acuedo Marco</t>
  </si>
  <si>
    <t>LICENCIA</t>
  </si>
  <si>
    <t>Adquisición Licenciamiento Suite Adobe</t>
  </si>
  <si>
    <t>Antonio Betancur</t>
  </si>
  <si>
    <t>Contratar el servicio de hosting para el alojamiento de la página web y aplicaciones del Instituto Nacional Para Ciegos - INCI, acorde con el anexo técnico, los estudios previos y el pliego de condiciones.</t>
  </si>
  <si>
    <t>035-2021//63988</t>
  </si>
  <si>
    <t>IFX NETWORKS COLOMBIA S A S</t>
  </si>
  <si>
    <t>Prestar sus servicios como ingeniero de sistemas para soporte, desarrollo y mejoramiento en el SGD ORFEO del Instituto Nacional para Ciegos</t>
  </si>
  <si>
    <t>037-2021</t>
  </si>
  <si>
    <t>CAMILO ANDRES PINTOR GUTIERREZ</t>
  </si>
  <si>
    <t>Mejorar la seguridad de la información</t>
  </si>
  <si>
    <t xml:space="preserve">Mantenimiento servidor y actualización sistema telefónico IP - Elastix </t>
  </si>
  <si>
    <t>Helbert Castillo</t>
  </si>
  <si>
    <t>72103302;
81111803;
81111804</t>
  </si>
  <si>
    <t>Mantenimiento preventivo y correctivo por horas,  de equipos de redes WI-FI AP, Switch Core y Borde, controladoras  relacionadas, actualización, implementaciones, configuraciones de propiedad del INCI</t>
  </si>
  <si>
    <t>Adquisición de Antivirus</t>
  </si>
  <si>
    <t>Adquisición de Licencias Firewall</t>
  </si>
  <si>
    <t>10 días</t>
  </si>
  <si>
    <t>23/06/2021</t>
  </si>
  <si>
    <t>PROPIOS 21</t>
  </si>
  <si>
    <t>Contrato de prestación de servicios para el soporte, mantenimiento y actualizaciones del aplicativo WEBSAFI</t>
  </si>
  <si>
    <t>031-2021</t>
  </si>
  <si>
    <t>SOFTWARE HOUSE LTDA</t>
  </si>
  <si>
    <t>Servicio de mantenimiento MV y actualización SERVERCENTER</t>
  </si>
  <si>
    <t>Servicio de mantenimiento y ajustes a IPv6 - Incluye permanencia en "LACNIC"</t>
  </si>
  <si>
    <t>Soporte de Directorio activo</t>
  </si>
  <si>
    <t>Soporte de Firewall</t>
  </si>
  <si>
    <t>24-06-2021</t>
  </si>
  <si>
    <t xml:space="preserve">Prestación de servicios profesionales como Community Manager para la actualización y desarrollo de las redes sociales del Instituto Nacional para Ciegos INCI </t>
  </si>
  <si>
    <t>026-2021</t>
  </si>
  <si>
    <t>CASTAÑEDA VARGAS LUIS ALEJANDRO</t>
  </si>
  <si>
    <t>Contratación de servicios profesionales para el desarrollo y administración de los canales digitales de comunicación del INCI
No se ajustó el valor en SECOP y realmente costó: $22.570.000</t>
  </si>
  <si>
    <t>11
Real: 188 días</t>
  </si>
  <si>
    <t>047-2021</t>
  </si>
  <si>
    <t>TATIANA CAROLINA MOLINA VARGAS</t>
  </si>
  <si>
    <t>A-02-01-01-003-008</t>
  </si>
  <si>
    <t>GG-01</t>
  </si>
  <si>
    <t>56112204; 
56112206; 
56112103; 
56112104; 
56101518</t>
  </si>
  <si>
    <t>Muebles Institucionales</t>
  </si>
  <si>
    <t>FUNCIONAMIENTO</t>
  </si>
  <si>
    <t>A-02-02-01-000-001</t>
  </si>
  <si>
    <t>GG-02</t>
  </si>
  <si>
    <t>Plantas aromáticas, bebestibles y especias</t>
  </si>
  <si>
    <t>66222//048-2021</t>
  </si>
  <si>
    <t>MUNDOLIMPIEZA LTDA</t>
  </si>
  <si>
    <t>A-02-02-01-002-003</t>
  </si>
  <si>
    <t>GG-03</t>
  </si>
  <si>
    <t xml:space="preserve">Caja menor productos cafetería y restaurante </t>
  </si>
  <si>
    <t>CAJA MENOR</t>
  </si>
  <si>
    <t>RESOLUCION
20211120000253</t>
  </si>
  <si>
    <t>Azúcar</t>
  </si>
  <si>
    <t>Café</t>
  </si>
  <si>
    <t>A-02-02-01-002-008</t>
  </si>
  <si>
    <t xml:space="preserve">Dotación </t>
  </si>
  <si>
    <t>A-02-02-01-003-002</t>
  </si>
  <si>
    <t>GG-04</t>
  </si>
  <si>
    <t>Caja Menor  Papeleria, utiles escritorio y oficina</t>
  </si>
  <si>
    <t>5421-6421</t>
  </si>
  <si>
    <t>5621-7321</t>
  </si>
  <si>
    <t>16/02/2021
10-03-2021</t>
  </si>
  <si>
    <t>RESOLUCION
20211120000253
20211120000393</t>
  </si>
  <si>
    <t>14101501;
60121124;
14111507;
44122003;
44111515</t>
  </si>
  <si>
    <t xml:space="preserve">Adquisición de Papel bond oficina, cajas, carpetas </t>
  </si>
  <si>
    <t>MATERIALES Y SUMINISTROS</t>
  </si>
  <si>
    <t>14111704;
14111705</t>
  </si>
  <si>
    <t>Papel higiénico, servilletas, toallas papel, vasos de cartón</t>
  </si>
  <si>
    <t xml:space="preserve">Circular No 1 
Circular No 1 </t>
  </si>
  <si>
    <t>A-02-02-01-003-003</t>
  </si>
  <si>
    <t>Diesel combustible vehiculo</t>
  </si>
  <si>
    <t>63730-30-2021</t>
  </si>
  <si>
    <t>GRUPO EDS AUTOGAS S.A.S.</t>
  </si>
  <si>
    <t>A-02-02-01-003-005</t>
  </si>
  <si>
    <t>Toner impresoras</t>
  </si>
  <si>
    <t>Creolina, alcohol y limpiavidrios</t>
  </si>
  <si>
    <t xml:space="preserve">Limpiones, toallas, traperos (aseo) </t>
  </si>
  <si>
    <t xml:space="preserve">Jabón, liquidos para aseo </t>
  </si>
  <si>
    <t xml:space="preserve">A-02-02-01-003-006  </t>
  </si>
  <si>
    <t>52151501;
52151502;
52151503;
52151504</t>
  </si>
  <si>
    <t>Otros productos plasticos (desechables, escobas,otros aseo)</t>
  </si>
  <si>
    <t xml:space="preserve">A-02-02-01-003-006 </t>
  </si>
  <si>
    <t>44121702;
27112309;
42312009</t>
  </si>
  <si>
    <t xml:space="preserve">Suministros de escritorio ( ganchos, esferos, lapices, cosedoras etc) </t>
  </si>
  <si>
    <t>A-02-02-01-004-007</t>
  </si>
  <si>
    <t>GG-05</t>
  </si>
  <si>
    <t>Adquisición de Token para trámites con el Ministerio de Hacienda</t>
  </si>
  <si>
    <t>A-02-02-02-005-004</t>
  </si>
  <si>
    <t>GG-06</t>
  </si>
  <si>
    <t>Mantenimiento infraestructura segundo piso</t>
  </si>
  <si>
    <t>OBRA</t>
  </si>
  <si>
    <t>A-02-02-02-006-004</t>
  </si>
  <si>
    <t>GG-07</t>
  </si>
  <si>
    <t>Caja Menor - Transporte</t>
  </si>
  <si>
    <t>A-02-02-02-006-009</t>
  </si>
  <si>
    <t>Servicio Público Energia</t>
  </si>
  <si>
    <t>4621-6321-7821-9021-10321</t>
  </si>
  <si>
    <t>N/A</t>
  </si>
  <si>
    <t>CODENSA S.A ESP</t>
  </si>
  <si>
    <t xml:space="preserve">Servicio Público Agua </t>
  </si>
  <si>
    <t>EMPRESA DE ACUEDUCTO Y ALCANTARILLADO DE BOGOTA - ESP</t>
  </si>
  <si>
    <t xml:space="preserve">
A-02-02-02-007-001</t>
  </si>
  <si>
    <t>GG-08</t>
  </si>
  <si>
    <t xml:space="preserve">SEGUROS </t>
  </si>
  <si>
    <t>9521-12321</t>
  </si>
  <si>
    <t xml:space="preserve">SEGUROS VIGENCIA FUTURA </t>
  </si>
  <si>
    <t>121-9521</t>
  </si>
  <si>
    <t>121
11321</t>
  </si>
  <si>
    <t>15/01/2021
27/05/2021</t>
  </si>
  <si>
    <t>105-2020</t>
  </si>
  <si>
    <t>ASEGURADORA SOLIDARIA DE COLOMBIA ENTIDAD COOPERATIVA</t>
  </si>
  <si>
    <t>A-02-02-02-008-002</t>
  </si>
  <si>
    <t>GG-09</t>
  </si>
  <si>
    <t>Caja menor, gastos judiciales</t>
  </si>
  <si>
    <t>A-02-02-02-008-003</t>
  </si>
  <si>
    <t>Contrato de prestación de servicios como apoyo Administrativo</t>
  </si>
  <si>
    <t>008-2021</t>
  </si>
  <si>
    <t>QUINTANA GRANADA JEISSON ANDRES</t>
  </si>
  <si>
    <t>Financiero</t>
  </si>
  <si>
    <t>Contrato de prestación de servicios como apoyo financiero</t>
  </si>
  <si>
    <t>045-2021</t>
  </si>
  <si>
    <t>MATALLANA VARGAS YEIMI ANDREA</t>
  </si>
  <si>
    <t xml:space="preserve">Contrato de prestación de servicios profesionales como apoyo al procedimiento de tesorería </t>
  </si>
  <si>
    <t>007-2021</t>
  </si>
  <si>
    <t>GALINDO YINNA
DIANA SALAS</t>
  </si>
  <si>
    <t xml:space="preserve">Honorarios Consejo Directivo </t>
  </si>
  <si>
    <t>1321-8221</t>
  </si>
  <si>
    <t>20/01/2021
2021-03-25</t>
  </si>
  <si>
    <t>MUÑOZ LOPEZ GUSTAVO ADOLFO</t>
  </si>
  <si>
    <t xml:space="preserve">Prestar servicios profesionales de indole tributario para el diagnostico e implementacion en temas de responsabilidad de impuestos de la entidad </t>
  </si>
  <si>
    <t xml:space="preserve">Contrato de prestación de servicios profesionales  como apoyo en temas administrativos e implementacion y ejecuciòn del plan institucional de gestion ambiental de la entidad  </t>
  </si>
  <si>
    <t>032-2021</t>
  </si>
  <si>
    <t>MARYI LORENA NIÑO MOSQUERA</t>
  </si>
  <si>
    <t>Contrato de prestación de servicios Profesionales de apoyo a la elaboración de estudios previos y  supervisión Tecnica de la obra</t>
  </si>
  <si>
    <t>043-2021</t>
  </si>
  <si>
    <t>CHACON CHACON FREDDY</t>
  </si>
  <si>
    <t xml:space="preserve">Contrato de prestación de servicios para apoyo administrativo del proceso Gestión Humana </t>
  </si>
  <si>
    <t>010-2021</t>
  </si>
  <si>
    <t>FERNEY  GAVIRIA ARGOTE</t>
  </si>
  <si>
    <t>A-02-02-02-008-003-09</t>
  </si>
  <si>
    <t>Prestar servicios profesionales de índole jurídico para el acompañamiento en las diferentes etapas del proceso contractual en todas las áreas del Instituto Nacional para Ciegos.</t>
  </si>
  <si>
    <t>001-2021</t>
  </si>
  <si>
    <t>CEPEDA DE LA ESPRIELLA RAQUEL LUCIA</t>
  </si>
  <si>
    <t>Contrato de prestación de servicios como apoyo a la oficina de control interno</t>
  </si>
  <si>
    <t>Magdalena Pedraza</t>
  </si>
  <si>
    <t>022-2021</t>
  </si>
  <si>
    <t>CORTES ALDANA ANGELA PATRICIA</t>
  </si>
  <si>
    <t>A-02-02-02-008-004</t>
  </si>
  <si>
    <t xml:space="preserve">Servicio teléfono y celular </t>
  </si>
  <si>
    <t>421-1221-5121-5521-6521-6821-8021-8721-9221-9921-10421-12121</t>
  </si>
  <si>
    <t>421-1221-5121-5721-7421-7621-9321
9821
10821
11221
12121-12221</t>
  </si>
  <si>
    <t>15/01/2021
10-02-2021
2021-01-20 
18-02-2021
10-03-2021 
17-03-2021
08-04-2021
22-04-2021
2021-05-07
2021-05-26
2021-04-06              26/06/2021</t>
  </si>
  <si>
    <t xml:space="preserve">COLOMBIA TELECOMUNICACIONES S.A. E.S.P.
EMPRESA DE TELECOMUNICACIONES DE BOGOTA SA ESP </t>
  </si>
  <si>
    <t>Servicio de Internet Canal Principal</t>
  </si>
  <si>
    <t>052-2021 68719</t>
  </si>
  <si>
    <t>Servicio de Internet Canal Principal 
Vigencia Futura</t>
  </si>
  <si>
    <t>165 días</t>
  </si>
  <si>
    <t>049-2020 - 46740</t>
  </si>
  <si>
    <t>A-02-02-02-008-005</t>
  </si>
  <si>
    <t xml:space="preserve">Servicio vigilancia </t>
  </si>
  <si>
    <t>Menor cuantía</t>
  </si>
  <si>
    <t>050-2021</t>
  </si>
  <si>
    <t>SEGURIDAD THOR LTDA</t>
  </si>
  <si>
    <t xml:space="preserve">Servicio vigilancia VIGENCIA FUTURA </t>
  </si>
  <si>
    <t>048-2020</t>
  </si>
  <si>
    <t>PROTEVIS LIMITADA PROTECCION VIGILANCIA SEGURIDAD EN REORGANIZACION</t>
  </si>
  <si>
    <t>Servicios de aseo</t>
  </si>
  <si>
    <t xml:space="preserve">Servicios de aseo VIGENCIA FUTURA </t>
  </si>
  <si>
    <t>1121-7621</t>
  </si>
  <si>
    <t>521-8321</t>
  </si>
  <si>
    <t>18/01/2021
26/03/2021</t>
  </si>
  <si>
    <t>47238//053-2020
66222//048-2021</t>
  </si>
  <si>
    <t>CASALIMPIA S.A.
MUNDOLIMPIEZA LTDA</t>
  </si>
  <si>
    <t>Servicios complementarios de aseo (Aspiradora, greca, estufa)</t>
  </si>
  <si>
    <t>Servicios complementarios de aseo (Aspiradora, greca, estufa) VIGENCIA FUTURA</t>
  </si>
  <si>
    <t>47238//053-2020</t>
  </si>
  <si>
    <t>CASALIMPIA S.A.</t>
  </si>
  <si>
    <t>A-02-02-02-008-007</t>
  </si>
  <si>
    <t>Mantenimiento Vehículo</t>
  </si>
  <si>
    <t xml:space="preserve">72101506
</t>
  </si>
  <si>
    <t>Contratación de prestación de servicios para el mantenimiento del ascensor del INCI</t>
  </si>
  <si>
    <t>049-2021</t>
  </si>
  <si>
    <t>1A SOLUCIONES GS SAS</t>
  </si>
  <si>
    <t xml:space="preserve">
81141804</t>
  </si>
  <si>
    <t>Certificación ascensor</t>
  </si>
  <si>
    <t xml:space="preserve">Contratación de prestación de servicios para el mantenimiento de los aires acondicionados </t>
  </si>
  <si>
    <t>Contratación servicio de mantenimiento recarga de extintores y de hidratante de red  contra incendios</t>
  </si>
  <si>
    <t>Caja Menor Mantenimiento de bienes muebles, inmuebles, equipos y enseres</t>
  </si>
  <si>
    <t>RESOLUCION
20211120000253
20211120000393
20211000000483</t>
  </si>
  <si>
    <t>72102900</t>
  </si>
  <si>
    <t>Mantenimiento de puerta vehicular y torniquete de ingreso</t>
  </si>
  <si>
    <t>A-02-02-02-008-007-01</t>
  </si>
  <si>
    <t>81112200;
81112300</t>
  </si>
  <si>
    <t>Contratación de prestación de servicios para el mantenimiento de los equipos cómputo</t>
  </si>
  <si>
    <t>Antonio Betancourt</t>
  </si>
  <si>
    <t>051-2021</t>
  </si>
  <si>
    <t>ALL TECHNOLOGICAL SERVICES ATS S.A.S.</t>
  </si>
  <si>
    <t xml:space="preserve">Contratación mantenimiento correctivo y preventivo de Impresoras, scanner y otros dispositivos de informática  </t>
  </si>
  <si>
    <t>056-2021</t>
  </si>
  <si>
    <t>WBEIMAR LEONARDO MIRANDA LOPEZ</t>
  </si>
  <si>
    <t>Contrato bolsa de repuestos para impresoras, scanner y otros dispositivos de informática</t>
  </si>
  <si>
    <t>A-02-02-02-009-004</t>
  </si>
  <si>
    <t>GG-10</t>
  </si>
  <si>
    <t xml:space="preserve">Servicio Publico Aseo </t>
  </si>
  <si>
    <t xml:space="preserve">Contratación servicio de Fumigacion </t>
  </si>
  <si>
    <t>Contratación servicio de Fumigacion 
VIGENCIA FUTURA</t>
  </si>
  <si>
    <t>A-02-02-02-009-006-09</t>
  </si>
  <si>
    <t>Gestión humana</t>
  </si>
  <si>
    <t>Servicios de Bienestar</t>
  </si>
  <si>
    <t>A-02-02-02-009-007</t>
  </si>
  <si>
    <t>Servicio para la Limpieza de la  fachada, persianas, vidrios y tanques de la entidad</t>
  </si>
  <si>
    <t>73111604
76122306
72122307
72122308
76122309
76122310
76122311
76122312
76121500</t>
  </si>
  <si>
    <t>Celebrar Acuerdo de Corresponsabilidad para realizar la gestión integral de los residuos sólidos aprovechables y reciclables de carácter no peligroso, generados en las instalaciones del Instituto Nacional para Ciegos -INCI, incluyendo su recolección, transporte, almacenamiento, aprovechamiento y disposición final.</t>
  </si>
  <si>
    <t>A-02-02-01-002-007</t>
  </si>
  <si>
    <t xml:space="preserve">GG-11 </t>
  </si>
  <si>
    <t xml:space="preserve">Elementos de protección personal </t>
  </si>
  <si>
    <t>A-03-03-01-999</t>
  </si>
  <si>
    <t>TR-01</t>
  </si>
  <si>
    <t>OTRAS TRANSFERENCIAS - DISTRIBUCIÓN PREVIO CONCEPTO DGPPN</t>
  </si>
  <si>
    <t>A-03-10-01-001</t>
  </si>
  <si>
    <t>TR-02</t>
  </si>
  <si>
    <t>SENTENCIAS</t>
  </si>
  <si>
    <t xml:space="preserve">TUTELA NÚMERO: REF.: EXP. T-11001-31-03-047-2021-00031-01 </t>
  </si>
  <si>
    <t>TATIANA CAROLINA MOLINA</t>
  </si>
  <si>
    <t>A-08-01-02-006</t>
  </si>
  <si>
    <t>TR-03</t>
  </si>
  <si>
    <t>IMPUESTO SOBRE VEHICULOS AUTOMOTORES</t>
  </si>
  <si>
    <t>IMPUESTO VEHÍCULOS</t>
  </si>
  <si>
    <t>BOGOTA DISTRITO CAPITAL
MUNICIPIO DE SANTANDER DE QUILICHAO</t>
  </si>
  <si>
    <t>A-08-04-01</t>
  </si>
  <si>
    <t>TR-04</t>
  </si>
  <si>
    <t>CUOTA DE FISCALIZACIÓN Y AUDITAJE</t>
  </si>
  <si>
    <t>A-08-01-02-001</t>
  </si>
  <si>
    <t>TR-05</t>
  </si>
  <si>
    <t xml:space="preserve">IMPUESTO PREDIAL </t>
  </si>
  <si>
    <t>IMPUESTO PREDIAL</t>
  </si>
  <si>
    <t>BOGOTA DISTRITO CAPITA</t>
  </si>
  <si>
    <t>8221-8321-9421</t>
  </si>
  <si>
    <t>9521-9621
10921</t>
  </si>
  <si>
    <t>8/04/2021
2021-05-13</t>
  </si>
  <si>
    <t>-</t>
  </si>
  <si>
    <t>TIPO</t>
  </si>
  <si>
    <t>Valor Trasladado en Reserva Presupuestal</t>
  </si>
  <si>
    <t xml:space="preserve">VALOR OBLIGADO
</t>
  </si>
  <si>
    <t xml:space="preserve">SALDO PENDIENTE POR OBLIGAR </t>
  </si>
  <si>
    <t xml:space="preserve">CUENTA POR PAGAR </t>
  </si>
  <si>
    <t>Unidades Productivas</t>
  </si>
  <si>
    <t>44102805
45101508
45101803
45101901</t>
  </si>
  <si>
    <t>Adquisición de dos máquinas industriales (Perforadora y cerradora) para el proceso de acabados de los productos que se elaboran en la Imprenta Nacional para Ciegos.</t>
  </si>
  <si>
    <t>Nación</t>
  </si>
  <si>
    <t xml:space="preserve">Gustavo Pulido Casas </t>
  </si>
  <si>
    <t>084-2020</t>
  </si>
  <si>
    <t>ANILLO DOBLE O SAS</t>
  </si>
  <si>
    <t xml:space="preserve">73152101
73152102
73152103 
81101707
</t>
  </si>
  <si>
    <t>095-2020</t>
  </si>
  <si>
    <t>COMERANDINA INDUSTRIAL S.A.S.</t>
  </si>
  <si>
    <t>56111902,
56111903,
56111906,
56111907,
56101535,
56101520,</t>
  </si>
  <si>
    <t>Adquisición de mobiliario y estanterias para el área de acabados e impresión braille en la imprenta</t>
  </si>
  <si>
    <t>100-2020</t>
  </si>
  <si>
    <t>JOHN ALEJANDRO FRANCO OTERO</t>
  </si>
  <si>
    <t>CUENTA POR PAGAR Y RESERVA</t>
  </si>
  <si>
    <t>76121501
76121902
76122203
76122301
76122302
76122303
76122304</t>
  </si>
  <si>
    <t>Contrato prestación de servicios asesoria y recolección para la disposición final desechos peligrosos de la Imprenta Nacional para Ciegos</t>
  </si>
  <si>
    <t>088-2020</t>
  </si>
  <si>
    <t>GESTION AMBIENTAL DE COLOMBIA SAS ESP</t>
  </si>
  <si>
    <t xml:space="preserve">SE CONSTITUYE CUENTA POR PAGAR MANUAL CON LA FACTURA FACT GEAC60 POR VALOR DE $3.507.345 POR NO CONTAR CON PAC  </t>
  </si>
  <si>
    <t>CUENTA POR PAGAR</t>
  </si>
  <si>
    <t>Asistencia Técnica</t>
  </si>
  <si>
    <t>81111502</t>
  </si>
  <si>
    <t>Diseño y desarrollo del software "Palabras y Cuentas" para apoyar los prcocesos de aprendizaje de braille y ábaco para las personas con discapacidad visual</t>
  </si>
  <si>
    <t>074-2020</t>
  </si>
  <si>
    <t>INMOTICA LTDA</t>
  </si>
  <si>
    <t>Adquisición de insumos para el proceso productivo en la imprenta nacional para ciegos</t>
  </si>
  <si>
    <t>091-2020</t>
  </si>
  <si>
    <t>LA CASA DE SUMINISTROS Y SERVICIOS S.A.S</t>
  </si>
  <si>
    <t>RESERVA</t>
  </si>
  <si>
    <t>Contratación de mantenimiento de  máquina de señalización (impresora cama plana UV LED) ubicada en la Imprenta Nacional para Ciegos</t>
  </si>
  <si>
    <t>Propios 21</t>
  </si>
  <si>
    <t>051-2020</t>
  </si>
  <si>
    <t>LASER DEPOT SAS</t>
  </si>
  <si>
    <t xml:space="preserve">Contratar el suministro de refrigerios para las personas con discapacidad visual y demás asistentes a los eventos organizados por el INCI con el fin de promover los derechos de las personas con discapacidad visual </t>
  </si>
  <si>
    <t>Gustavo Pulido</t>
  </si>
  <si>
    <t>Enrique King</t>
  </si>
  <si>
    <t>047-2020</t>
  </si>
  <si>
    <t>LOGISTICS &amp; SERVICES SAS</t>
  </si>
  <si>
    <t>Centro Cultural</t>
  </si>
  <si>
    <t>047-20202</t>
  </si>
  <si>
    <t>80141607</t>
  </si>
  <si>
    <t>Producir y publicar en formatos accesibles documentos digitales para personas con discapacidad visual</t>
  </si>
  <si>
    <t xml:space="preserve">Contrato de prestación de servicios para la implemetación del Sistema de Bibliotecas y Repositorios Digitales DSPACE en la biblioteca virtual del INCI </t>
  </si>
  <si>
    <t>096-2020</t>
  </si>
  <si>
    <t>METABIBLIOTECA S A S</t>
  </si>
  <si>
    <t xml:space="preserve">42211700
42211702
44101800
44101802
44101803
</t>
  </si>
  <si>
    <t xml:space="preserve">
28820</t>
  </si>
  <si>
    <t xml:space="preserve">
2020-12-16</t>
  </si>
  <si>
    <t>080-2020</t>
  </si>
  <si>
    <t>MULTISUMINISTROS E U</t>
  </si>
  <si>
    <t xml:space="preserve">Adquisición de materiales para la elaboración de señalización en la imprenta nacional para Ciegos </t>
  </si>
  <si>
    <t>112-2020</t>
  </si>
  <si>
    <t>Adquisición de papel para la producción de la imprenta nacional para Ciegos</t>
  </si>
  <si>
    <t>101-2020</t>
  </si>
  <si>
    <t>PAPELES RR S A S</t>
  </si>
  <si>
    <t>061-2020</t>
  </si>
  <si>
    <t>RICOH COLOMBIA S.A</t>
  </si>
  <si>
    <t>092-2020</t>
  </si>
  <si>
    <t>RODRIGUEZ HUERTAS JAIME ENRIQUE</t>
  </si>
  <si>
    <t>Contratar el suministro de tiquetes aéreos en rutas nacionales e internacionales disponibles por SATENA y otros operadores para los servidores públicos del Instituto Nacional para Ciegos – INCI, para el cumplimiento de sus funciones</t>
  </si>
  <si>
    <t>Dario Montañez</t>
  </si>
  <si>
    <t>TIQUETE AÉREO</t>
  </si>
  <si>
    <t>038-2020</t>
  </si>
  <si>
    <t>SERVICIO AEREO A TERRITORIOS NACIONALES S.A.</t>
  </si>
  <si>
    <t>052-2020</t>
  </si>
  <si>
    <t>SERVICIOS POSTALES NACIONALES S.A</t>
  </si>
  <si>
    <t>087-2020</t>
  </si>
  <si>
    <t>SOLUCIONES INTEGRALES VER SAS EP</t>
  </si>
  <si>
    <t>Producir y adaptar material audiovisual para promover la inclusión de las personas con discapacidad visual</t>
  </si>
  <si>
    <t>Producción Radial y Audiovisual</t>
  </si>
  <si>
    <t>45121516
45111815
45121610
45121602</t>
  </si>
  <si>
    <t xml:space="preserve">Adquisición de equipos para transmisión en vivo del centro audiovisual </t>
  </si>
  <si>
    <t>106-2020</t>
  </si>
  <si>
    <t>SUMINISTROS Y ASESORIAS S&amp;R SAS</t>
  </si>
  <si>
    <t>Adquisición de un escáner de libros para la biblioteca virtual</t>
  </si>
  <si>
    <t>102-2020</t>
  </si>
  <si>
    <t>TECHNO MART SAS</t>
  </si>
  <si>
    <t>80111621;93131703</t>
  </si>
  <si>
    <t xml:space="preserve">Contrato Interadministrativo para el desarrollo de una investigación en temas relacionados con discapacidad visual </t>
  </si>
  <si>
    <t>CONTRATO INTERADMINISTRATIVO</t>
  </si>
  <si>
    <t>María del Rosario Yepes</t>
  </si>
  <si>
    <t>093-2020</t>
  </si>
  <si>
    <t>UNIVERSIDAD DE ANTIOQUIA</t>
  </si>
  <si>
    <t xml:space="preserve">SE CONSTITUYE CUENTA POR PAGAR MANUAL CON LA FACTURA  FACTURA VBYS4215  POR VALOR DE 2.000.000 POR NO CONTAR CON PAC  </t>
  </si>
  <si>
    <t xml:space="preserve">C-2299-0700-3-0-2299058-02
</t>
  </si>
  <si>
    <t>86101705;86101810</t>
  </si>
  <si>
    <t>098-2020</t>
  </si>
  <si>
    <t>CAJA DE COMPENSACION FAMILIAR CAFAM</t>
  </si>
  <si>
    <t>C-2299-0700-3-0-2299011-02</t>
  </si>
  <si>
    <t>FP-01</t>
  </si>
  <si>
    <t>Mejorar los espacios físicos y accesibilidad de la entidad Fase 2</t>
  </si>
  <si>
    <t>Contrato de prestación de servicios de apoyo a la elaboración de estudios previos y  supervisión de la obra</t>
  </si>
  <si>
    <t>CONTRATO DE PRESTACIÓN DE SERVICIOS PROFESIONALES</t>
  </si>
  <si>
    <t>058-2020</t>
  </si>
  <si>
    <t>FREDDY CHACON CHACON</t>
  </si>
  <si>
    <t>72103300
72151200
72151900
72152500
72152700
72153200
72153600</t>
  </si>
  <si>
    <t>Contrato de servicios de mantenimiento y reparación de infraestructura</t>
  </si>
  <si>
    <t>20720-31120</t>
  </si>
  <si>
    <t>24/09/2020
2020-12-24</t>
  </si>
  <si>
    <t>081-2020</t>
  </si>
  <si>
    <t>CONSTRUCTORA DARJA S A S</t>
  </si>
  <si>
    <t xml:space="preserve">SE CONSTITUYE CUENTA POR PAGAR MANUAL CON LA FACTURA 115 POR VALOR DE $54.656.143,55 POR NO CONTAR CON PAC  </t>
  </si>
  <si>
    <t>13720-23120</t>
  </si>
  <si>
    <t xml:space="preserve">
2020-06-03
2020-10-30</t>
  </si>
  <si>
    <t xml:space="preserve">
49805//057-2020</t>
  </si>
  <si>
    <t xml:space="preserve">IFX NETWORKS COLOMBIA SAS </t>
  </si>
  <si>
    <t xml:space="preserve">SE CONSTITUYE CUENTA POR PAGAR MANUAL CON LAS FACTURAS FACTURAS IFXC - 322740 Y IFXC - 321010  POR VALOR DE $5.029.932 + 1.964.324 Y  3.065.608 POR NO CONTAR CON PAC  </t>
  </si>
  <si>
    <t>057-2020//49805</t>
  </si>
  <si>
    <t>80111600</t>
  </si>
  <si>
    <t>Prestar los servicios de apoyo a la gestion en las actividades y compromisos de la Secretaria General del INCI</t>
  </si>
  <si>
    <t>CONTRATO DE PRESTACIÓN DE SERVICIOS</t>
  </si>
  <si>
    <t>Paula Avendaño</t>
  </si>
  <si>
    <t>024-2020</t>
  </si>
  <si>
    <t>YEIMI ANDREA MATALLANA VARGAS</t>
  </si>
  <si>
    <t>43211503
43211507</t>
  </si>
  <si>
    <t xml:space="preserve">Adquisición de equipos de cómputo para renovación de la plataforma del INCI </t>
  </si>
  <si>
    <t>8/10/2020
2020-11-06</t>
  </si>
  <si>
    <t>083-2020</t>
  </si>
  <si>
    <t>TECNOPHONE COLOMBIA S A S</t>
  </si>
  <si>
    <t>21920-24220</t>
  </si>
  <si>
    <t>GG09</t>
  </si>
  <si>
    <t>Propios 20</t>
  </si>
  <si>
    <t>055-2020</t>
  </si>
  <si>
    <t>A-02-02-02-009-006</t>
  </si>
  <si>
    <t>GG10</t>
  </si>
  <si>
    <t xml:space="preserve">Contratación servicio de Esparcimiento- CAFAM </t>
  </si>
  <si>
    <t>053-2020</t>
  </si>
  <si>
    <t>CAR SCANNERS SAS</t>
  </si>
  <si>
    <t>GG06</t>
  </si>
  <si>
    <t>Adecuaciones tercer piso</t>
  </si>
  <si>
    <t>Evaluación y Mejoramiento Institucional</t>
  </si>
  <si>
    <t>004-2020</t>
  </si>
  <si>
    <t>ANGELA PATRICIA CORTES ALDANA</t>
  </si>
  <si>
    <t>Contrato de prestación de servicios como apoyo al procedimiento de tesorería</t>
  </si>
  <si>
    <t>023-2020</t>
  </si>
  <si>
    <t>GALINDO YINNA</t>
  </si>
  <si>
    <t>A-02-02-02-007-002</t>
  </si>
  <si>
    <t>GG08</t>
  </si>
  <si>
    <t xml:space="preserve">Servicios para realizar los avalúos de los inmuebles del INCI en Bogota </t>
  </si>
  <si>
    <t>107-2020</t>
  </si>
  <si>
    <t>GESVALT LATAM S.A.S.</t>
  </si>
  <si>
    <t xml:space="preserve">
9620</t>
  </si>
  <si>
    <t xml:space="preserve">
2020/03/31</t>
  </si>
  <si>
    <t xml:space="preserve">
049-2020</t>
  </si>
  <si>
    <t>GG01</t>
  </si>
  <si>
    <t>56112204;56112206;56112103;56112104;56101518</t>
  </si>
  <si>
    <t xml:space="preserve">Muebles Institucionales </t>
  </si>
  <si>
    <t>MATERIALES Y SUMINISTRO</t>
  </si>
  <si>
    <t>110-2020</t>
  </si>
  <si>
    <t>MEGAOBRAS CONSTRUCCIONES LIVIANAS S A S</t>
  </si>
  <si>
    <t>GG05</t>
  </si>
  <si>
    <t>Direcionamiento Estratégico</t>
  </si>
  <si>
    <t>81112210
81112200</t>
  </si>
  <si>
    <t>Arrendamiento de software que permita parametrizar e implementar una solución tecnológica para la administración, control y seguimiento de los diferentes instrumentos del Sistema Integrado de Gestión del INCI.</t>
  </si>
  <si>
    <t>SOFTWARE</t>
  </si>
  <si>
    <t>115-2020</t>
  </si>
  <si>
    <t>PENSEMOS S.A</t>
  </si>
  <si>
    <t xml:space="preserve">SE CONSTITUYE CUENTA POR PAGAR MANUAL CON LA FACTURA FACT E 232 POR VALOR DE 668.346.27 POR NO CONTAR CON PAC  </t>
  </si>
  <si>
    <t xml:space="preserve">
12/04/2020</t>
  </si>
  <si>
    <t xml:space="preserve">
048-2020</t>
  </si>
  <si>
    <t>PROTEVIS LTDA PROTECCION VIGILANCIA SEGURIDAD</t>
  </si>
  <si>
    <t>GG03</t>
  </si>
  <si>
    <t>Dotación (prendas de vestir y calzado)</t>
  </si>
  <si>
    <t xml:space="preserve">
30120</t>
  </si>
  <si>
    <t xml:space="preserve">
22-12-2020</t>
  </si>
  <si>
    <t>111-2020</t>
  </si>
  <si>
    <t>SODEXO SERVICIOS DE BENEFICIOS E INCENTIVOS COLOMBIA S.A.</t>
  </si>
  <si>
    <t>GG02</t>
  </si>
  <si>
    <t>47238//054-2020</t>
  </si>
  <si>
    <t xml:space="preserve">Cafe </t>
  </si>
  <si>
    <t>GG04</t>
  </si>
  <si>
    <t>14111704
14111705</t>
  </si>
  <si>
    <t>52151501;52151502;52151503;52151504</t>
  </si>
  <si>
    <t xml:space="preserve">
2020-09-07</t>
  </si>
  <si>
    <t>PROYECTO MEJORAMIENTO DE CONDICIONES PARA LA GARANTIA DE LOS DERECHOS DE LAS PERSONAS CON DISCAPACIDAD VISUAL</t>
  </si>
  <si>
    <t>META</t>
  </si>
  <si>
    <t>2019</t>
  </si>
  <si>
    <t>2020</t>
  </si>
  <si>
    <t>2021</t>
  </si>
  <si>
    <t>2022</t>
  </si>
  <si>
    <t>TOTAL CUATRENIO</t>
  </si>
  <si>
    <t>METAS</t>
  </si>
  <si>
    <t xml:space="preserve">TOTAL CUATRENIO </t>
  </si>
  <si>
    <t>MC 01</t>
  </si>
  <si>
    <t>FP 01</t>
  </si>
  <si>
    <t>Mejorar los espacios físicos y accesibilidad de la entidad</t>
  </si>
  <si>
    <t>FP 02</t>
  </si>
  <si>
    <t>FP 03</t>
  </si>
  <si>
    <t>MC 02</t>
  </si>
  <si>
    <t>FP 04</t>
  </si>
  <si>
    <t>FP 05</t>
  </si>
  <si>
    <t>Disponer de material, productos y ayudas para la adquisición por parte de las  personas con discapacidad visual</t>
  </si>
  <si>
    <t>Transcribir e imprimir libros, textos y material para las personas con discapacidad visual</t>
  </si>
  <si>
    <t>MC 03</t>
  </si>
  <si>
    <t>Promover y asesorar a organizaciones sociales, familia y  otros colectivos de personas con discapacidad visual, para  la participación y el ejercicio de sus derechos</t>
  </si>
  <si>
    <t>TOPE</t>
  </si>
  <si>
    <t>DIFERENCIA</t>
  </si>
  <si>
    <t>Software, Luz, Agua, Bienestar, compu, impresoras, repuestos, papel higienico, Dr Diego, Toner, Papel bond, disel carro, escritorio, contrato tesorería, protección personal</t>
  </si>
  <si>
    <t>FALTA PARA DEJAR EN 0 LA DIFERENCIA</t>
  </si>
  <si>
    <t>tesoreria $500.000 por mes</t>
  </si>
  <si>
    <t>Meta</t>
  </si>
  <si>
    <t>Departamento</t>
  </si>
  <si>
    <t>Municipio</t>
  </si>
  <si>
    <t>Nombre Servidor público</t>
  </si>
  <si>
    <t>Viáticos</t>
  </si>
  <si>
    <t># días</t>
  </si>
  <si>
    <t>SUBTOTAL Viaticos</t>
  </si>
  <si>
    <t>Tiquete Aereo</t>
  </si>
  <si>
    <t>Tiquete Terrestre</t>
  </si>
  <si>
    <t>Columna1</t>
  </si>
  <si>
    <t>Antioquia</t>
  </si>
  <si>
    <t>Bello</t>
  </si>
  <si>
    <t>Nicole Cubillos</t>
  </si>
  <si>
    <t>Itagui</t>
  </si>
  <si>
    <t>Rionegro</t>
  </si>
  <si>
    <t>Cudinamarca</t>
  </si>
  <si>
    <t>Fusagasuga</t>
  </si>
  <si>
    <t>Martha Castro</t>
  </si>
  <si>
    <t>Girardot</t>
  </si>
  <si>
    <t xml:space="preserve">Mosquera </t>
  </si>
  <si>
    <t>Zipaquira</t>
  </si>
  <si>
    <t>Valle</t>
  </si>
  <si>
    <t>Cartago</t>
  </si>
  <si>
    <t>Contratista (2)</t>
  </si>
  <si>
    <t>Jamundi</t>
  </si>
  <si>
    <t xml:space="preserve">Palmira </t>
  </si>
  <si>
    <t>Yumbo</t>
  </si>
  <si>
    <t>Santander</t>
  </si>
  <si>
    <t>Floridablanca</t>
  </si>
  <si>
    <t>Luz Marleny Correa</t>
  </si>
  <si>
    <t>Inter, Taxi Bogota y Taxi stder</t>
  </si>
  <si>
    <t>Piedecuesta</t>
  </si>
  <si>
    <t>Boyacá</t>
  </si>
  <si>
    <t>Duitama</t>
  </si>
  <si>
    <t>Glora Peña</t>
  </si>
  <si>
    <t>La Guajira</t>
  </si>
  <si>
    <t>Maicao</t>
  </si>
  <si>
    <t>Claudia Valdes</t>
  </si>
  <si>
    <t>Córdoba</t>
  </si>
  <si>
    <t>Sahagún</t>
  </si>
  <si>
    <t>Nariño</t>
  </si>
  <si>
    <t>Tumaco</t>
  </si>
  <si>
    <t>Contratista (3)</t>
  </si>
  <si>
    <t>Atlántico</t>
  </si>
  <si>
    <t>Soledad</t>
  </si>
  <si>
    <t>Sandra Cortes</t>
  </si>
  <si>
    <t>Malambo</t>
  </si>
  <si>
    <t>Barranquilla</t>
  </si>
  <si>
    <t>Esperanza Verdugo</t>
  </si>
  <si>
    <t>Boyaca</t>
  </si>
  <si>
    <t>Sogamoso</t>
  </si>
  <si>
    <t>Caqueta</t>
  </si>
  <si>
    <t>Florencia</t>
  </si>
  <si>
    <t>Contratista (Yolanda)</t>
  </si>
  <si>
    <t>Cauca</t>
  </si>
  <si>
    <t>Popayan</t>
  </si>
  <si>
    <t>Guaviare</t>
  </si>
  <si>
    <t>San Jose del Guaviare</t>
  </si>
  <si>
    <t>La guajira</t>
  </si>
  <si>
    <t>Riohacha y Maicao</t>
  </si>
  <si>
    <t>Villavicencio</t>
  </si>
  <si>
    <t>Patricia Montoya</t>
  </si>
  <si>
    <t>Pasto</t>
  </si>
  <si>
    <t>Risaralda</t>
  </si>
  <si>
    <t>Pereira</t>
  </si>
  <si>
    <t>San Andrés</t>
  </si>
  <si>
    <t>Casanare</t>
  </si>
  <si>
    <t>Yopal</t>
  </si>
  <si>
    <t>Contratista (Marcela)</t>
  </si>
  <si>
    <t>3.5</t>
  </si>
  <si>
    <t>Chocó</t>
  </si>
  <si>
    <t>Quibdo</t>
  </si>
  <si>
    <t>Putumayo</t>
  </si>
  <si>
    <t>Puerto Asis</t>
  </si>
  <si>
    <t>Magdalena</t>
  </si>
  <si>
    <t>Santa Marta</t>
  </si>
  <si>
    <t>Vaupes</t>
  </si>
  <si>
    <t>Mitu</t>
  </si>
  <si>
    <t>Departamento 1</t>
  </si>
  <si>
    <t>Municipio 1</t>
  </si>
  <si>
    <t>Santiago Rodríguez</t>
  </si>
  <si>
    <t>Departamento 2</t>
  </si>
  <si>
    <t>Municipio 2</t>
  </si>
  <si>
    <t>Edwin Beltran</t>
  </si>
  <si>
    <t>SUB TOTAL INVESTIGACIÓN</t>
  </si>
  <si>
    <t>Modificación 18 de enero</t>
  </si>
  <si>
    <t>Luis Ignacio Maya</t>
  </si>
  <si>
    <t>TOTAL INVESTIGACIÓN</t>
  </si>
  <si>
    <t>Mariño</t>
  </si>
  <si>
    <t>5421-6421-8421-10121</t>
  </si>
  <si>
    <t>3921-7921-10221</t>
  </si>
  <si>
    <t>2721-9221-11821</t>
  </si>
  <si>
    <t>28/01/2021
08-04-2021
2021-06-02</t>
  </si>
  <si>
    <t>5621-7321-9721
11921</t>
  </si>
  <si>
    <t>16/02/2021
10-03-2021
09-04-2021
02-06-2021</t>
  </si>
  <si>
    <t>4621-7121-9121-10621-12021</t>
  </si>
  <si>
    <t>4/02/2021
04-03-2021
07-04-2021
05-05-2021
05-06-2021</t>
  </si>
  <si>
    <t>PLAN DE ADQUISICIONES  AÑO 2021 (CON CORTE A JUNIO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</si>
</sst>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2" formatCode="_-&quot;$&quot;\ * #,##0_-;\-&quot;$&quot;\ * #,##0_-;_-&quot;$&quot;\ * &quot;-&quot;_-;_-@_-"/>
    <numFmt numFmtId="44" formatCode="_-&quot;$&quot;\ * #,##0.00_-;\-&quot;$&quot;\ * #,##0.00_-;_-&quot;$&quot;\ * &quot;-&quot;??_-;_-@_-"/>
    <numFmt numFmtId="43" formatCode="_-* #,##0.00_-;\-* #,##0.00_-;_-* &quot;-&quot;??_-;_-@_-"/>
    <numFmt numFmtId="164" formatCode="_(* #,##0_);_(* \(#,##0\);_(* &quot;-&quot;_);_(@_)"/>
    <numFmt numFmtId="165" formatCode="_(* #,##0.00_);_(* \(#,##0.00\);_(* &quot;-&quot;??_);_(@_)"/>
    <numFmt numFmtId="166" formatCode="_(&quot;$&quot;\ * #,##0.00_);_(&quot;$&quot;\ * \(#,##0.00\);_(&quot;$&quot;\ * &quot;-&quot;??_);_(@_)"/>
    <numFmt numFmtId="167" formatCode="&quot;$&quot;\ #,##0.0"/>
    <numFmt numFmtId="168" formatCode="&quot;$&quot;\ #,##0.00"/>
    <numFmt numFmtId="169" formatCode="&quot;$&quot;\ #,##0"/>
    <numFmt numFmtId="170" formatCode="_(* #,##0_);_(* \(#,##0\);_(* &quot;-&quot;??_);_(@_)"/>
    <numFmt numFmtId="171" formatCode="_-* #.##0_-;\-* #.##0_-;_-* &quot;-&quot;_-;_-@_-"/>
    <numFmt numFmtId="172" formatCode="#.##0;\-#.##0"/>
    <numFmt numFmtId="173" formatCode="_-* #.##0.00_-;\-* #.##0.00_-;_-* &quot;-&quot;??_-;_-@_-"/>
    <numFmt numFmtId="174" formatCode="_(&quot;$&quot;\ * #,##0_);_(&quot;$&quot;\ * \(#,##0\);_(&quot;$&quot;\ * &quot;-&quot;??_);_(@_)"/>
    <numFmt numFmtId="175" formatCode="_-&quot;$&quot;\ * #.##0.00_-;\-&quot;$&quot;\ * #.##0.00_-;_-&quot;$&quot;\ * &quot;-&quot;??_-;_-@_-"/>
    <numFmt numFmtId="176" formatCode="yyyy\-mm\-dd;@"/>
    <numFmt numFmtId="177" formatCode="_(* #.##0.00_);_(* \(#.##0.00\);_(* &quot;-&quot;??_);_(@_)"/>
    <numFmt numFmtId="178" formatCode="_-* #,##0_-;\-* #,##0_-;_-* &quot;-&quot;??_-;_-@_-"/>
    <numFmt numFmtId="179" formatCode="_(&quot;$&quot;\ * #,##0.000_);_(&quot;$&quot;\ * \(#,##0.000\);_(&quot;$&quot;\ * &quot;-&quot;??_);_(@_)"/>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color theme="1"/>
      <name val="Arial"/>
      <family val="2"/>
    </font>
    <font>
      <sz val="12"/>
      <color theme="1"/>
      <name val="Arial"/>
      <family val="2"/>
    </font>
    <font>
      <sz val="14"/>
      <color theme="1"/>
      <name val="Arial"/>
      <family val="2"/>
    </font>
    <font>
      <b/>
      <sz val="14"/>
      <color theme="1"/>
      <name val="Arial"/>
      <family val="2"/>
    </font>
    <font>
      <b/>
      <sz val="12"/>
      <color theme="1"/>
      <name val="Arial"/>
      <family val="2"/>
    </font>
    <font>
      <u/>
      <sz val="11"/>
      <color theme="10"/>
      <name val="Calibri"/>
      <family val="2"/>
      <scheme val="minor"/>
    </font>
    <font>
      <b/>
      <sz val="12"/>
      <name val="Arial"/>
      <family val="2"/>
    </font>
    <font>
      <sz val="12"/>
      <name val="Arial"/>
      <family val="2"/>
    </font>
    <font>
      <b/>
      <sz val="9"/>
      <color indexed="81"/>
      <name val="Tahoma"/>
      <family val="2"/>
    </font>
    <font>
      <sz val="9"/>
      <color indexed="81"/>
      <name val="Tahoma"/>
      <family val="2"/>
    </font>
    <font>
      <b/>
      <sz val="14"/>
      <name val="Arial"/>
      <family val="2"/>
    </font>
    <font>
      <b/>
      <sz val="10"/>
      <color theme="1"/>
      <name val="Verdana"/>
      <family val="2"/>
    </font>
    <font>
      <sz val="11"/>
      <color rgb="FF000000"/>
      <name val="Calibri"/>
      <family val="2"/>
      <scheme val="minor"/>
    </font>
    <font>
      <sz val="10"/>
      <name val="Arial"/>
      <family val="2"/>
    </font>
    <font>
      <sz val="10"/>
      <color theme="1"/>
      <name val="Verdana"/>
      <family val="2"/>
    </font>
    <font>
      <b/>
      <sz val="12"/>
      <color indexed="81"/>
      <name val="Tahoma"/>
      <family val="2"/>
    </font>
    <font>
      <b/>
      <sz val="12"/>
      <color rgb="FF000000"/>
      <name val="Arial"/>
      <family val="2"/>
    </font>
    <font>
      <b/>
      <sz val="12"/>
      <color theme="1"/>
      <name val="Calibri"/>
      <family val="2"/>
      <scheme val="minor"/>
    </font>
    <font>
      <sz val="11"/>
      <color rgb="FF000000"/>
      <name val="Arial"/>
      <family val="2"/>
    </font>
    <font>
      <sz val="10"/>
      <color theme="1"/>
      <name val="Arial"/>
      <family val="2"/>
    </font>
    <font>
      <sz val="12"/>
      <color theme="1"/>
      <name val="Calibri"/>
      <family val="2"/>
      <scheme val="minor"/>
    </font>
    <font>
      <sz val="11"/>
      <name val="Arial"/>
      <family val="2"/>
    </font>
    <font>
      <u/>
      <sz val="11"/>
      <color theme="10"/>
      <name val="Arial"/>
      <family val="2"/>
    </font>
    <font>
      <b/>
      <sz val="14"/>
      <color theme="1"/>
      <name val="Calibri"/>
      <family val="2"/>
      <scheme val="minor"/>
    </font>
    <font>
      <b/>
      <sz val="14"/>
      <color rgb="FF000000"/>
      <name val="Arial"/>
      <family val="2"/>
    </font>
    <font>
      <sz val="12"/>
      <color rgb="FF000000"/>
      <name val="Arial"/>
      <family val="2"/>
    </font>
    <font>
      <sz val="12"/>
      <name val="Arial Narrow"/>
      <family val="2"/>
    </font>
    <font>
      <sz val="20"/>
      <color theme="1"/>
      <name val="Calibri"/>
      <family val="2"/>
      <scheme val="minor"/>
    </font>
    <font>
      <sz val="11"/>
      <color rgb="FFFF0000"/>
      <name val="Arial"/>
      <family val="2"/>
    </font>
    <font>
      <u/>
      <sz val="11"/>
      <name val="Calibri"/>
      <family val="2"/>
      <scheme val="minor"/>
    </font>
    <font>
      <b/>
      <sz val="20"/>
      <color theme="1"/>
      <name val="Arial"/>
      <family val="2"/>
    </font>
  </fonts>
  <fills count="32">
    <fill>
      <patternFill patternType="none"/>
    </fill>
    <fill>
      <patternFill patternType="gray125"/>
    </fill>
    <fill>
      <patternFill patternType="solid">
        <fgColor theme="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9" tint="0.59999389629810485"/>
        <bgColor rgb="FFFDE9D9"/>
      </patternFill>
    </fill>
    <fill>
      <patternFill patternType="solid">
        <fgColor rgb="FFDBE5F1"/>
        <bgColor indexed="64"/>
      </patternFill>
    </fill>
    <fill>
      <patternFill patternType="solid">
        <fgColor theme="4" tint="0.59999389629810485"/>
        <bgColor indexed="64"/>
      </patternFill>
    </fill>
    <fill>
      <patternFill patternType="solid">
        <fgColor rgb="FFFFC000"/>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0"/>
        <bgColor indexed="64"/>
      </patternFill>
    </fill>
    <fill>
      <patternFill patternType="solid">
        <fgColor theme="8" tint="0.39997558519241921"/>
        <bgColor indexed="64"/>
      </patternFill>
    </fill>
    <fill>
      <patternFill patternType="solid">
        <fgColor theme="3" tint="0.39997558519241921"/>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rgb="FF92D050"/>
        <bgColor indexed="64"/>
      </patternFill>
    </fill>
    <fill>
      <patternFill patternType="solid">
        <fgColor rgb="FFCCFF99"/>
        <bgColor indexed="64"/>
      </patternFill>
    </fill>
    <fill>
      <patternFill patternType="solid">
        <fgColor rgb="FFFFFF99"/>
        <bgColor indexed="64"/>
      </patternFill>
    </fill>
    <fill>
      <patternFill patternType="solid">
        <fgColor rgb="FFFFFF00"/>
        <bgColor indexed="64"/>
      </patternFill>
    </fill>
    <fill>
      <patternFill patternType="solid">
        <fgColor rgb="FFCCFFFF"/>
        <bgColor indexed="64"/>
      </patternFill>
    </fill>
    <fill>
      <patternFill patternType="solid">
        <fgColor rgb="FFF8CBAD"/>
        <bgColor indexed="64"/>
      </patternFill>
    </fill>
    <fill>
      <patternFill patternType="solid">
        <fgColor rgb="FFFFFFFF"/>
        <bgColor indexed="64"/>
      </patternFill>
    </fill>
    <fill>
      <patternFill patternType="solid">
        <fgColor rgb="FFCCFFCC"/>
        <bgColor indexed="64"/>
      </patternFill>
    </fill>
    <fill>
      <patternFill patternType="solid">
        <fgColor rgb="FFEDEDED"/>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theme="4"/>
      </top>
      <bottom/>
      <diagonal/>
    </border>
    <border>
      <left/>
      <right/>
      <top/>
      <bottom style="thin">
        <color indexed="64"/>
      </bottom>
      <diagonal/>
    </border>
  </borders>
  <cellStyleXfs count="21">
    <xf numFmtId="0" fontId="0" fillId="0" borderId="0"/>
    <xf numFmtId="164" fontId="1" fillId="0" borderId="0" applyFont="0" applyFill="0" applyBorder="0" applyAlignment="0" applyProtection="0"/>
    <xf numFmtId="166" fontId="1" fillId="0" borderId="0" applyFont="0" applyFill="0" applyBorder="0" applyAlignment="0" applyProtection="0"/>
    <xf numFmtId="0" fontId="3" fillId="2" borderId="0" applyNumberFormat="0" applyBorder="0" applyAlignment="0" applyProtection="0"/>
    <xf numFmtId="0" fontId="9" fillId="0" borderId="0" applyNumberFormat="0" applyFill="0" applyBorder="0" applyAlignment="0" applyProtection="0"/>
    <xf numFmtId="0" fontId="15" fillId="8" borderId="0" applyNumberFormat="0" applyBorder="0" applyProtection="0">
      <alignment horizontal="center" vertical="center"/>
    </xf>
    <xf numFmtId="171" fontId="1" fillId="0" borderId="0" applyFont="0" applyFill="0" applyBorder="0" applyAlignment="0" applyProtection="0"/>
    <xf numFmtId="166" fontId="16" fillId="0" borderId="0" applyFont="0" applyFill="0" applyBorder="0" applyAlignment="0" applyProtection="0"/>
    <xf numFmtId="0" fontId="1" fillId="0" borderId="0"/>
    <xf numFmtId="37" fontId="17" fillId="0" borderId="0"/>
    <xf numFmtId="49" fontId="18" fillId="0" borderId="0" applyFill="0" applyBorder="0" applyProtection="0">
      <alignment horizontal="left" vertical="center"/>
    </xf>
    <xf numFmtId="0" fontId="23" fillId="0" borderId="0"/>
    <xf numFmtId="172" fontId="17" fillId="0" borderId="0"/>
    <xf numFmtId="173" fontId="1" fillId="0" borderId="0" applyFont="0" applyFill="0" applyBorder="0" applyAlignment="0" applyProtection="0"/>
    <xf numFmtId="0" fontId="24" fillId="0" borderId="0"/>
    <xf numFmtId="43" fontId="1" fillId="0" borderId="0" applyFont="0" applyFill="0" applyBorder="0" applyAlignment="0" applyProtection="0"/>
    <xf numFmtId="175" fontId="1" fillId="0" borderId="0" applyFont="0" applyFill="0" applyBorder="0" applyAlignment="0" applyProtection="0"/>
    <xf numFmtId="177" fontId="1" fillId="0" borderId="0" applyFont="0" applyFill="0" applyBorder="0" applyAlignment="0" applyProtection="0"/>
    <xf numFmtId="43" fontId="16" fillId="0" borderId="0" applyFont="0" applyFill="0" applyBorder="0" applyAlignment="0" applyProtection="0"/>
    <xf numFmtId="0" fontId="16" fillId="0" borderId="0"/>
    <xf numFmtId="42" fontId="1" fillId="0" borderId="0" applyFont="0" applyFill="0" applyBorder="0" applyAlignment="0" applyProtection="0"/>
  </cellStyleXfs>
  <cellXfs count="313">
    <xf numFmtId="0" fontId="0" fillId="0" borderId="0" xfId="0"/>
    <xf numFmtId="0" fontId="0" fillId="0" borderId="0" xfId="0" applyAlignment="1">
      <alignment horizontal="center"/>
    </xf>
    <xf numFmtId="0" fontId="0" fillId="0" borderId="1" xfId="0" applyBorder="1" applyAlignment="1">
      <alignment horizontal="center" vertical="center"/>
    </xf>
    <xf numFmtId="0" fontId="0" fillId="0" borderId="0" xfId="0" applyAlignment="1">
      <alignment horizontal="center" vertical="center"/>
    </xf>
    <xf numFmtId="0" fontId="0" fillId="0" borderId="1" xfId="0" applyBorder="1" applyAlignment="1">
      <alignment vertical="center" wrapText="1"/>
    </xf>
    <xf numFmtId="0" fontId="4" fillId="0" borderId="0" xfId="0" applyFont="1" applyAlignment="1">
      <alignment horizontal="center" vertical="center" wrapText="1"/>
    </xf>
    <xf numFmtId="166" fontId="4" fillId="0" borderId="0" xfId="2" applyFont="1" applyAlignment="1">
      <alignment horizontal="center" vertical="center" wrapText="1"/>
    </xf>
    <xf numFmtId="0" fontId="4" fillId="0" borderId="1" xfId="0" applyFont="1" applyBorder="1" applyAlignment="1">
      <alignment horizontal="center" vertical="center" wrapText="1"/>
    </xf>
    <xf numFmtId="166" fontId="4" fillId="0" borderId="1" xfId="2" applyFont="1" applyBorder="1" applyAlignment="1">
      <alignment horizontal="center" vertical="center" wrapText="1"/>
    </xf>
    <xf numFmtId="0" fontId="5"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7" fillId="4"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4" borderId="1" xfId="0" applyFont="1" applyFill="1" applyBorder="1" applyAlignment="1">
      <alignment horizontal="center" vertical="center" wrapText="1"/>
    </xf>
    <xf numFmtId="166" fontId="10" fillId="4" borderId="1" xfId="2" applyFont="1" applyFill="1" applyBorder="1" applyAlignment="1">
      <alignment horizontal="center" vertical="center" wrapText="1"/>
    </xf>
    <xf numFmtId="166" fontId="10" fillId="4" borderId="2" xfId="2" applyFont="1" applyFill="1" applyBorder="1" applyAlignment="1">
      <alignment horizontal="center" vertical="center" wrapText="1"/>
    </xf>
    <xf numFmtId="0" fontId="11" fillId="0" borderId="0" xfId="0" applyFont="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66" fontId="5" fillId="0" borderId="1" xfId="2" applyFont="1" applyBorder="1" applyAlignment="1">
      <alignment horizontal="center" vertical="center"/>
    </xf>
    <xf numFmtId="0" fontId="5" fillId="0" borderId="1" xfId="0" applyFont="1" applyBorder="1" applyAlignment="1">
      <alignment horizontal="center" vertical="center"/>
    </xf>
    <xf numFmtId="167" fontId="5" fillId="0" borderId="1" xfId="0" applyNumberFormat="1" applyFont="1" applyBorder="1" applyAlignment="1">
      <alignment horizontal="center" vertical="center"/>
    </xf>
    <xf numFmtId="166" fontId="5" fillId="0" borderId="1" xfId="2" applyFont="1" applyFill="1" applyBorder="1" applyAlignment="1">
      <alignment horizontal="center" vertical="center"/>
    </xf>
    <xf numFmtId="166" fontId="5" fillId="0" borderId="3" xfId="2" applyFont="1" applyFill="1" applyBorder="1" applyAlignment="1">
      <alignment horizontal="center" vertical="center"/>
    </xf>
    <xf numFmtId="0" fontId="5" fillId="0" borderId="0" xfId="0" applyFont="1" applyFill="1"/>
    <xf numFmtId="0" fontId="5" fillId="0" borderId="1" xfId="0" applyFont="1" applyFill="1" applyBorder="1" applyAlignment="1">
      <alignment horizontal="center" vertical="center"/>
    </xf>
    <xf numFmtId="167" fontId="5" fillId="0" borderId="1" xfId="0" applyNumberFormat="1" applyFont="1" applyFill="1" applyBorder="1" applyAlignment="1">
      <alignment horizontal="center" vertical="center"/>
    </xf>
    <xf numFmtId="166" fontId="5" fillId="6" borderId="1" xfId="2" applyFont="1" applyFill="1" applyBorder="1" applyAlignment="1">
      <alignment horizontal="center" vertical="center"/>
    </xf>
    <xf numFmtId="0" fontId="5" fillId="6" borderId="1" xfId="0" applyFont="1" applyFill="1" applyBorder="1" applyAlignment="1">
      <alignment horizontal="center" vertical="center"/>
    </xf>
    <xf numFmtId="168" fontId="5" fillId="6" borderId="1" xfId="0" applyNumberFormat="1" applyFont="1" applyFill="1" applyBorder="1" applyAlignment="1">
      <alignment horizontal="center" vertical="center"/>
    </xf>
    <xf numFmtId="169" fontId="5"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166" fontId="11" fillId="0" borderId="1" xfId="2" applyFont="1" applyFill="1" applyBorder="1" applyAlignment="1">
      <alignment horizontal="center" vertical="center"/>
    </xf>
    <xf numFmtId="0" fontId="11" fillId="0" borderId="1" xfId="0" applyFont="1" applyFill="1" applyBorder="1" applyAlignment="1">
      <alignment horizontal="center" vertical="center"/>
    </xf>
    <xf numFmtId="169" fontId="11" fillId="0" borderId="1" xfId="0" applyNumberFormat="1" applyFont="1" applyFill="1" applyBorder="1" applyAlignment="1">
      <alignment horizontal="center" vertical="center"/>
    </xf>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166" fontId="5" fillId="3" borderId="1" xfId="2" applyFont="1" applyFill="1" applyBorder="1" applyAlignment="1">
      <alignment horizontal="center" vertical="center"/>
    </xf>
    <xf numFmtId="0" fontId="5" fillId="3" borderId="1" xfId="0" applyFont="1" applyFill="1" applyBorder="1" applyAlignment="1">
      <alignment horizontal="center" vertical="center"/>
    </xf>
    <xf numFmtId="169" fontId="5" fillId="3" borderId="1" xfId="0" applyNumberFormat="1" applyFont="1" applyFill="1" applyBorder="1" applyAlignment="1">
      <alignment horizontal="center" vertical="center"/>
    </xf>
    <xf numFmtId="0" fontId="5" fillId="0" borderId="0" xfId="0" applyFont="1" applyFill="1" applyAlignment="1">
      <alignment vertical="center"/>
    </xf>
    <xf numFmtId="0" fontId="5" fillId="0" borderId="0" xfId="0" applyFont="1" applyFill="1" applyAlignment="1">
      <alignment horizontal="left" vertical="center"/>
    </xf>
    <xf numFmtId="0" fontId="5" fillId="0" borderId="0" xfId="0" applyFont="1" applyFill="1" applyAlignment="1">
      <alignment horizontal="center" vertical="center"/>
    </xf>
    <xf numFmtId="169" fontId="5" fillId="0" borderId="1" xfId="0" applyNumberFormat="1" applyFont="1" applyBorder="1" applyAlignment="1">
      <alignment horizontal="center" vertical="center"/>
    </xf>
    <xf numFmtId="166" fontId="5" fillId="0" borderId="4" xfId="2" applyFont="1" applyFill="1" applyBorder="1" applyAlignment="1">
      <alignment horizontal="center" vertical="center"/>
    </xf>
    <xf numFmtId="0" fontId="5" fillId="0" borderId="0" xfId="0" applyFont="1"/>
    <xf numFmtId="0" fontId="5" fillId="0" borderId="0" xfId="0" applyFont="1" applyAlignment="1">
      <alignment horizontal="left" vertical="center" wrapText="1"/>
    </xf>
    <xf numFmtId="166" fontId="5" fillId="0" borderId="0" xfId="2" applyFont="1" applyAlignment="1">
      <alignment horizontal="center" vertical="center"/>
    </xf>
    <xf numFmtId="0" fontId="5" fillId="0" borderId="0" xfId="0" applyFont="1" applyAlignment="1">
      <alignment horizontal="center" vertical="center"/>
    </xf>
    <xf numFmtId="0" fontId="6" fillId="0" borderId="0" xfId="0" applyFont="1"/>
    <xf numFmtId="0" fontId="20" fillId="5" borderId="5"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22" fillId="0" borderId="7" xfId="0" applyFont="1" applyBorder="1" applyAlignment="1">
      <alignment horizontal="justify" vertical="center" wrapText="1"/>
    </xf>
    <xf numFmtId="0" fontId="22" fillId="0" borderId="1" xfId="0" applyFont="1" applyBorder="1" applyAlignment="1">
      <alignment horizontal="center" vertical="center" wrapText="1"/>
    </xf>
    <xf numFmtId="9" fontId="22"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0" fontId="7" fillId="3" borderId="1" xfId="0" applyFont="1" applyFill="1" applyBorder="1" applyAlignment="1">
      <alignment horizontal="center" vertical="center" wrapText="1"/>
    </xf>
    <xf numFmtId="166" fontId="7" fillId="3" borderId="1" xfId="2"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25" fillId="0" borderId="1" xfId="5" applyFont="1" applyFill="1" applyBorder="1" applyAlignment="1">
      <alignment horizontal="center" vertical="center" wrapText="1"/>
    </xf>
    <xf numFmtId="0" fontId="25" fillId="0" borderId="1" xfId="0" applyFont="1" applyBorder="1" applyAlignment="1">
      <alignment horizontal="center" vertical="center" wrapText="1"/>
    </xf>
    <xf numFmtId="1" fontId="4" fillId="0" borderId="1" xfId="10" applyNumberFormat="1" applyFont="1" applyBorder="1" applyAlignment="1">
      <alignment horizontal="center" vertical="center" wrapText="1"/>
    </xf>
    <xf numFmtId="0" fontId="4" fillId="0" borderId="1" xfId="11" applyNumberFormat="1" applyFont="1" applyBorder="1" applyAlignment="1">
      <alignment horizontal="center" vertical="center" wrapText="1"/>
    </xf>
    <xf numFmtId="0" fontId="4" fillId="0" borderId="1" xfId="10" applyNumberFormat="1" applyFont="1" applyBorder="1" applyAlignment="1">
      <alignment horizontal="center" vertical="center" wrapText="1"/>
    </xf>
    <xf numFmtId="0" fontId="9" fillId="0" borderId="1" xfId="4" applyFont="1" applyBorder="1" applyAlignment="1">
      <alignment horizontal="center" vertical="center" wrapText="1"/>
    </xf>
    <xf numFmtId="0" fontId="4" fillId="0" borderId="1" xfId="8" applyNumberFormat="1" applyFont="1" applyBorder="1" applyAlignment="1">
      <alignment horizontal="center" vertical="center" wrapText="1"/>
    </xf>
    <xf numFmtId="37" fontId="25" fillId="0" borderId="1" xfId="9" applyNumberFormat="1" applyFont="1" applyBorder="1" applyAlignment="1">
      <alignment horizontal="center" vertical="center" wrapText="1"/>
    </xf>
    <xf numFmtId="49" fontId="4" fillId="0" borderId="1" xfId="10" applyNumberFormat="1" applyFont="1" applyBorder="1" applyAlignment="1">
      <alignment horizontal="center" vertical="center" wrapText="1"/>
    </xf>
    <xf numFmtId="0" fontId="4" fillId="0" borderId="1" xfId="10" applyNumberFormat="1" applyFont="1" applyFill="1" applyBorder="1" applyAlignment="1">
      <alignment horizontal="center" vertical="center" wrapText="1"/>
    </xf>
    <xf numFmtId="172" fontId="25" fillId="0" borderId="1" xfId="12" applyNumberFormat="1" applyFont="1" applyBorder="1" applyAlignment="1">
      <alignment horizontal="left" vertical="center" wrapText="1"/>
    </xf>
    <xf numFmtId="0" fontId="0" fillId="0" borderId="1" xfId="0" applyFont="1" applyFill="1" applyBorder="1" applyAlignment="1">
      <alignment horizontal="center" vertical="center" wrapText="1"/>
    </xf>
    <xf numFmtId="0" fontId="4" fillId="0" borderId="1" xfId="8" applyNumberFormat="1" applyFont="1" applyFill="1" applyBorder="1" applyAlignment="1">
      <alignment horizontal="center" vertical="center" wrapText="1"/>
    </xf>
    <xf numFmtId="49" fontId="4" fillId="0" borderId="1" xfId="2"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4" fillId="0" borderId="1" xfId="4" applyNumberFormat="1" applyFont="1" applyBorder="1" applyAlignment="1">
      <alignment horizontal="center" vertical="center" wrapText="1"/>
    </xf>
    <xf numFmtId="0" fontId="4" fillId="13" borderId="1" xfId="8" applyFont="1" applyFill="1" applyBorder="1" applyAlignment="1">
      <alignment horizontal="center" vertical="center"/>
    </xf>
    <xf numFmtId="0" fontId="25" fillId="0" borderId="1" xfId="8" applyNumberFormat="1" applyFont="1" applyBorder="1" applyAlignment="1">
      <alignment horizontal="center" vertical="center" wrapText="1"/>
    </xf>
    <xf numFmtId="170" fontId="25" fillId="0" borderId="1" xfId="13" applyNumberFormat="1" applyFont="1" applyBorder="1" applyAlignment="1">
      <alignment horizontal="center" vertical="center" wrapText="1"/>
    </xf>
    <xf numFmtId="0" fontId="0" fillId="0" borderId="1" xfId="0" applyFont="1" applyBorder="1" applyAlignment="1">
      <alignment horizontal="center" vertical="center"/>
    </xf>
    <xf numFmtId="0" fontId="0" fillId="0" borderId="11" xfId="0" applyFont="1" applyBorder="1" applyAlignment="1">
      <alignment horizontal="center" vertical="center"/>
    </xf>
    <xf numFmtId="0" fontId="25" fillId="0" borderId="1" xfId="13" applyNumberFormat="1" applyFont="1" applyBorder="1" applyAlignment="1">
      <alignment horizontal="center" vertical="center" wrapText="1"/>
    </xf>
    <xf numFmtId="0" fontId="25" fillId="0" borderId="1" xfId="11" applyNumberFormat="1" applyFont="1" applyBorder="1" applyAlignment="1">
      <alignment horizontal="center" vertical="center" wrapText="1"/>
    </xf>
    <xf numFmtId="0" fontId="4" fillId="0" borderId="1" xfId="5" applyFont="1" applyFill="1" applyBorder="1" applyAlignment="1">
      <alignment horizontal="center" vertical="center"/>
    </xf>
    <xf numFmtId="0" fontId="25"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5" applyFont="1" applyFill="1" applyBorder="1" applyAlignment="1">
      <alignment horizontal="center" vertical="center" wrapText="1"/>
    </xf>
    <xf numFmtId="0" fontId="26" fillId="0" borderId="1" xfId="4" applyFont="1" applyFill="1" applyBorder="1" applyAlignment="1">
      <alignment horizontal="center" vertical="center" wrapText="1"/>
    </xf>
    <xf numFmtId="0" fontId="25" fillId="0" borderId="1" xfId="8" applyNumberFormat="1" applyFont="1" applyFill="1" applyBorder="1" applyAlignment="1">
      <alignment horizontal="left" vertical="center" wrapText="1"/>
    </xf>
    <xf numFmtId="174" fontId="4" fillId="0" borderId="1" xfId="2" applyNumberFormat="1" applyFont="1" applyFill="1" applyBorder="1" applyAlignment="1">
      <alignment horizontal="center" vertical="center"/>
    </xf>
    <xf numFmtId="170" fontId="25" fillId="0" borderId="1" xfId="3" applyNumberFormat="1" applyFont="1" applyFill="1" applyBorder="1" applyAlignment="1">
      <alignment horizontal="center" vertical="center" wrapText="1"/>
    </xf>
    <xf numFmtId="49" fontId="25" fillId="0" borderId="1" xfId="8" applyNumberFormat="1" applyFont="1" applyFill="1" applyBorder="1" applyAlignment="1">
      <alignment horizontal="left" vertical="center"/>
    </xf>
    <xf numFmtId="0" fontId="25" fillId="0" borderId="1" xfId="8" applyNumberFormat="1" applyFont="1" applyFill="1" applyBorder="1" applyAlignment="1">
      <alignment horizontal="center" vertical="center" wrapText="1"/>
    </xf>
    <xf numFmtId="0" fontId="4" fillId="0" borderId="1" xfId="11" applyNumberFormat="1" applyFont="1" applyFill="1" applyBorder="1" applyAlignment="1">
      <alignment horizontal="center" vertical="center" wrapText="1"/>
    </xf>
    <xf numFmtId="49" fontId="26" fillId="0" borderId="1" xfId="4" applyNumberFormat="1" applyFont="1" applyFill="1" applyBorder="1" applyAlignment="1">
      <alignment horizontal="center" vertical="center" wrapText="1"/>
    </xf>
    <xf numFmtId="0" fontId="4" fillId="0" borderId="11" xfId="0" applyFont="1" applyFill="1" applyBorder="1" applyAlignment="1">
      <alignment horizontal="center" vertical="center" wrapText="1"/>
    </xf>
    <xf numFmtId="166" fontId="4" fillId="0" borderId="11" xfId="2" applyNumberFormat="1" applyFont="1" applyFill="1" applyBorder="1" applyAlignment="1">
      <alignment vertical="center"/>
    </xf>
    <xf numFmtId="0" fontId="25" fillId="0" borderId="1" xfId="14" applyNumberFormat="1" applyFont="1" applyFill="1" applyBorder="1" applyAlignment="1">
      <alignment horizontal="left" vertical="center"/>
    </xf>
    <xf numFmtId="0" fontId="25" fillId="0" borderId="1" xfId="14"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166" fontId="25" fillId="0" borderId="1" xfId="2" applyNumberFormat="1" applyFont="1" applyFill="1" applyBorder="1" applyAlignment="1">
      <alignment horizontal="center" vertical="center" wrapText="1"/>
    </xf>
    <xf numFmtId="0" fontId="9" fillId="0" borderId="1" xfId="4" applyFill="1" applyBorder="1" applyAlignment="1">
      <alignment horizontal="center" vertical="center" wrapText="1"/>
    </xf>
    <xf numFmtId="166" fontId="4" fillId="0" borderId="0" xfId="0" applyNumberFormat="1" applyFont="1" applyAlignment="1">
      <alignment horizontal="center" vertical="center" wrapText="1"/>
    </xf>
    <xf numFmtId="0" fontId="6" fillId="10" borderId="1" xfId="0" applyFont="1" applyFill="1" applyBorder="1" applyAlignment="1">
      <alignment horizontal="center" vertical="center" wrapText="1"/>
    </xf>
    <xf numFmtId="166" fontId="6" fillId="10" borderId="1" xfId="2" applyFont="1" applyFill="1" applyBorder="1" applyAlignment="1">
      <alignment horizontal="center" vertical="center" wrapText="1"/>
    </xf>
    <xf numFmtId="166" fontId="4" fillId="12" borderId="0" xfId="2" applyFont="1" applyFill="1" applyAlignment="1">
      <alignment horizontal="center" vertical="center" wrapText="1"/>
    </xf>
    <xf numFmtId="0" fontId="6" fillId="5" borderId="1" xfId="0" applyFont="1" applyFill="1" applyBorder="1" applyAlignment="1">
      <alignment horizontal="center" vertical="center" wrapText="1"/>
    </xf>
    <xf numFmtId="166" fontId="6" fillId="5" borderId="1" xfId="0" applyNumberFormat="1" applyFont="1" applyFill="1" applyBorder="1" applyAlignment="1">
      <alignment horizontal="center" vertical="center" wrapText="1"/>
    </xf>
    <xf numFmtId="166" fontId="4" fillId="0" borderId="1" xfId="0" applyNumberFormat="1" applyFont="1" applyBorder="1" applyAlignment="1">
      <alignment horizontal="center" vertical="center" wrapText="1"/>
    </xf>
    <xf numFmtId="0" fontId="4" fillId="9" borderId="0" xfId="0" applyFont="1" applyFill="1" applyAlignment="1">
      <alignment horizontal="center" vertical="center" wrapText="1"/>
    </xf>
    <xf numFmtId="166" fontId="4" fillId="9" borderId="0" xfId="2" applyFont="1" applyFill="1" applyAlignment="1">
      <alignment horizontal="center" vertical="center" wrapText="1"/>
    </xf>
    <xf numFmtId="174" fontId="25" fillId="0" borderId="1" xfId="2" applyNumberFormat="1" applyFont="1" applyFill="1" applyBorder="1" applyAlignment="1">
      <alignment horizontal="center" vertical="center"/>
    </xf>
    <xf numFmtId="0" fontId="0" fillId="0" borderId="8" xfId="0" applyBorder="1" applyAlignment="1">
      <alignment horizontal="center" vertical="center"/>
    </xf>
    <xf numFmtId="9" fontId="0" fillId="0" borderId="8" xfId="0" applyNumberFormat="1" applyBorder="1" applyAlignment="1">
      <alignment horizontal="center" vertical="center"/>
    </xf>
    <xf numFmtId="0" fontId="22" fillId="0" borderId="7" xfId="0" applyFont="1" applyFill="1" applyBorder="1" applyAlignment="1">
      <alignment horizontal="justify" vertical="center" wrapText="1"/>
    </xf>
    <xf numFmtId="10" fontId="22" fillId="0" borderId="1" xfId="0" applyNumberFormat="1" applyFont="1" applyFill="1" applyBorder="1" applyAlignment="1">
      <alignment horizontal="center" vertical="center" wrapText="1"/>
    </xf>
    <xf numFmtId="9" fontId="0" fillId="0" borderId="8" xfId="0" applyNumberFormat="1" applyFill="1" applyBorder="1" applyAlignment="1">
      <alignment horizontal="center" vertical="center"/>
    </xf>
    <xf numFmtId="0" fontId="22" fillId="0" borderId="1" xfId="0" applyFont="1" applyFill="1" applyBorder="1" applyAlignment="1">
      <alignment horizontal="center" vertical="center" wrapText="1"/>
    </xf>
    <xf numFmtId="0" fontId="0" fillId="0" borderId="8" xfId="0" applyFill="1" applyBorder="1" applyAlignment="1">
      <alignment horizontal="center" vertical="center"/>
    </xf>
    <xf numFmtId="9" fontId="22" fillId="0" borderId="1" xfId="0" applyNumberFormat="1" applyFont="1" applyFill="1" applyBorder="1" applyAlignment="1">
      <alignment horizontal="center" vertical="center" wrapText="1"/>
    </xf>
    <xf numFmtId="0" fontId="22" fillId="0" borderId="9" xfId="0" applyFont="1" applyFill="1" applyBorder="1" applyAlignment="1">
      <alignment horizontal="justify" vertical="center" wrapText="1"/>
    </xf>
    <xf numFmtId="10" fontId="22" fillId="0" borderId="4" xfId="0" applyNumberFormat="1" applyFont="1" applyFill="1" applyBorder="1" applyAlignment="1">
      <alignment horizontal="center" vertical="center" wrapText="1"/>
    </xf>
    <xf numFmtId="9" fontId="0" fillId="0" borderId="10" xfId="0" applyNumberFormat="1" applyFill="1" applyBorder="1" applyAlignment="1">
      <alignment horizontal="center" vertical="center"/>
    </xf>
    <xf numFmtId="0" fontId="20" fillId="5" borderId="1" xfId="0" applyFont="1" applyFill="1" applyBorder="1" applyAlignment="1">
      <alignment horizontal="center" vertical="center" wrapText="1"/>
    </xf>
    <xf numFmtId="0" fontId="22" fillId="0" borderId="1" xfId="0" applyFont="1" applyBorder="1" applyAlignment="1">
      <alignment horizontal="justify" vertical="center" wrapText="1"/>
    </xf>
    <xf numFmtId="0" fontId="27" fillId="0" borderId="0" xfId="0" applyFont="1" applyBorder="1" applyAlignment="1">
      <alignment horizontal="center" vertical="center"/>
    </xf>
    <xf numFmtId="0" fontId="28" fillId="0" borderId="0" xfId="0" applyFont="1" applyBorder="1" applyAlignment="1">
      <alignment horizontal="justify" vertical="center" wrapText="1"/>
    </xf>
    <xf numFmtId="0" fontId="4" fillId="1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17"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14" borderId="1"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4" fillId="19" borderId="1" xfId="0" applyFont="1" applyFill="1" applyBorder="1" applyAlignment="1">
      <alignment horizontal="center" vertical="center" wrapText="1"/>
    </xf>
    <xf numFmtId="0" fontId="25" fillId="20" borderId="1" xfId="0" applyFont="1" applyFill="1" applyBorder="1" applyAlignment="1">
      <alignment horizontal="center" vertical="center" wrapText="1"/>
    </xf>
    <xf numFmtId="0" fontId="4" fillId="20" borderId="1" xfId="0" applyFont="1" applyFill="1" applyBorder="1" applyAlignment="1">
      <alignment horizontal="center" vertical="center" wrapText="1"/>
    </xf>
    <xf numFmtId="0" fontId="4" fillId="21" borderId="1" xfId="0" applyFont="1" applyFill="1" applyBorder="1" applyAlignment="1">
      <alignment horizontal="center" vertical="center" wrapText="1"/>
    </xf>
    <xf numFmtId="0" fontId="4" fillId="15" borderId="1" xfId="0" applyFont="1" applyFill="1" applyBorder="1" applyAlignment="1">
      <alignment horizontal="center" vertical="center" wrapText="1"/>
    </xf>
    <xf numFmtId="49" fontId="4" fillId="14" borderId="1" xfId="0" applyNumberFormat="1"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49" fontId="4" fillId="16" borderId="1" xfId="0" applyNumberFormat="1" applyFont="1" applyFill="1" applyBorder="1" applyAlignment="1">
      <alignment horizontal="center" vertical="center" wrapText="1"/>
    </xf>
    <xf numFmtId="49" fontId="4" fillId="18" borderId="1" xfId="0" applyNumberFormat="1" applyFont="1" applyFill="1" applyBorder="1" applyAlignment="1">
      <alignment horizontal="center" vertical="center" wrapText="1"/>
    </xf>
    <xf numFmtId="0" fontId="0" fillId="11" borderId="1" xfId="0" applyFill="1" applyBorder="1" applyAlignment="1">
      <alignment horizontal="center" vertical="center"/>
    </xf>
    <xf numFmtId="0" fontId="27" fillId="18" borderId="0" xfId="0" applyFont="1" applyFill="1" applyBorder="1" applyAlignment="1">
      <alignment horizontal="center" vertical="center"/>
    </xf>
    <xf numFmtId="0" fontId="21" fillId="18" borderId="8" xfId="0" applyFont="1" applyFill="1" applyBorder="1" applyAlignment="1">
      <alignment horizontal="center" vertical="center"/>
    </xf>
    <xf numFmtId="0" fontId="2" fillId="18" borderId="1" xfId="0" applyFont="1" applyFill="1" applyBorder="1" applyAlignment="1">
      <alignment horizontal="center"/>
    </xf>
    <xf numFmtId="0" fontId="20" fillId="5" borderId="6" xfId="0" applyFont="1" applyFill="1" applyBorder="1" applyAlignment="1">
      <alignment horizontal="center" vertical="center" wrapText="1"/>
    </xf>
    <xf numFmtId="0" fontId="4" fillId="0" borderId="1" xfId="0" applyFont="1" applyBorder="1" applyAlignment="1">
      <alignment horizontal="left" vertical="center" wrapText="1"/>
    </xf>
    <xf numFmtId="174" fontId="4" fillId="0" borderId="1" xfId="2" applyNumberFormat="1" applyFont="1" applyBorder="1" applyAlignment="1">
      <alignment horizontal="center" vertical="center" wrapText="1"/>
    </xf>
    <xf numFmtId="174" fontId="4" fillId="0" borderId="1" xfId="2" applyNumberFormat="1" applyFont="1" applyBorder="1" applyAlignment="1">
      <alignment horizontal="center" vertical="center"/>
    </xf>
    <xf numFmtId="174" fontId="4" fillId="0" borderId="1" xfId="0" applyNumberFormat="1" applyFont="1" applyBorder="1" applyAlignment="1">
      <alignment horizontal="center" vertical="center"/>
    </xf>
    <xf numFmtId="174" fontId="4" fillId="14" borderId="1" xfId="2" applyNumberFormat="1" applyFont="1" applyFill="1" applyBorder="1" applyAlignment="1">
      <alignment horizontal="center" vertical="center" wrapText="1"/>
    </xf>
    <xf numFmtId="166" fontId="5" fillId="0" borderId="0" xfId="2" applyFont="1" applyFill="1"/>
    <xf numFmtId="0" fontId="5" fillId="0" borderId="4" xfId="0" applyFont="1" applyFill="1" applyBorder="1" applyAlignment="1">
      <alignment horizontal="left" vertical="center" wrapText="1"/>
    </xf>
    <xf numFmtId="0" fontId="5" fillId="0" borderId="4" xfId="0" applyFont="1" applyFill="1" applyBorder="1" applyAlignment="1">
      <alignment horizontal="center" vertical="center" wrapText="1"/>
    </xf>
    <xf numFmtId="166" fontId="5" fillId="0" borderId="4" xfId="0" applyNumberFormat="1" applyFont="1" applyFill="1" applyBorder="1" applyAlignment="1">
      <alignment horizontal="center" vertical="center"/>
    </xf>
    <xf numFmtId="0" fontId="5" fillId="0" borderId="4" xfId="0" applyFont="1" applyFill="1" applyBorder="1" applyAlignment="1">
      <alignment horizontal="center" vertical="center"/>
    </xf>
    <xf numFmtId="169" fontId="5" fillId="0" borderId="4" xfId="0" applyNumberFormat="1" applyFont="1" applyFill="1" applyBorder="1" applyAlignment="1">
      <alignment horizontal="center" vertical="center"/>
    </xf>
    <xf numFmtId="0" fontId="5" fillId="22" borderId="1" xfId="0" applyFont="1" applyFill="1" applyBorder="1" applyAlignment="1">
      <alignment horizontal="left" vertical="center" wrapText="1"/>
    </xf>
    <xf numFmtId="0" fontId="5" fillId="22" borderId="1" xfId="0" applyFont="1" applyFill="1" applyBorder="1" applyAlignment="1">
      <alignment horizontal="center" vertical="center" wrapText="1"/>
    </xf>
    <xf numFmtId="166" fontId="5" fillId="22" borderId="1" xfId="2" applyFont="1" applyFill="1" applyBorder="1" applyAlignment="1">
      <alignment horizontal="center" vertical="center"/>
    </xf>
    <xf numFmtId="0" fontId="5" fillId="22" borderId="1" xfId="0" applyFont="1" applyFill="1" applyBorder="1" applyAlignment="1">
      <alignment horizontal="center" vertical="center"/>
    </xf>
    <xf numFmtId="169" fontId="5" fillId="22" borderId="1" xfId="0" applyNumberFormat="1" applyFont="1" applyFill="1" applyBorder="1" applyAlignment="1">
      <alignment horizontal="center" vertical="center"/>
    </xf>
    <xf numFmtId="0" fontId="5" fillId="23" borderId="1" xfId="0" applyFont="1" applyFill="1" applyBorder="1" applyAlignment="1">
      <alignment horizontal="left" vertical="center" wrapText="1"/>
    </xf>
    <xf numFmtId="0" fontId="5" fillId="23" borderId="1" xfId="0" applyFont="1" applyFill="1" applyBorder="1" applyAlignment="1">
      <alignment horizontal="center" vertical="center" wrapText="1"/>
    </xf>
    <xf numFmtId="166" fontId="5" fillId="23" borderId="1" xfId="2" applyFont="1" applyFill="1" applyBorder="1" applyAlignment="1">
      <alignment horizontal="center" vertical="center"/>
    </xf>
    <xf numFmtId="0" fontId="5" fillId="23" borderId="1" xfId="0" applyFont="1" applyFill="1" applyBorder="1" applyAlignment="1">
      <alignment horizontal="center" vertical="center"/>
    </xf>
    <xf numFmtId="169" fontId="5" fillId="23" borderId="1" xfId="0" applyNumberFormat="1" applyFont="1" applyFill="1" applyBorder="1" applyAlignment="1">
      <alignment horizontal="center" vertical="center"/>
    </xf>
    <xf numFmtId="174" fontId="4" fillId="0" borderId="1" xfId="2" applyNumberFormat="1" applyFont="1" applyFill="1" applyBorder="1" applyAlignment="1">
      <alignment horizontal="center" vertical="center" wrapText="1"/>
    </xf>
    <xf numFmtId="174" fontId="4" fillId="5" borderId="1" xfId="2" applyNumberFormat="1" applyFont="1" applyFill="1" applyBorder="1" applyAlignment="1">
      <alignment horizontal="center" vertical="center" wrapText="1"/>
    </xf>
    <xf numFmtId="166" fontId="4" fillId="5" borderId="1" xfId="2" applyFont="1" applyFill="1" applyBorder="1" applyAlignment="1">
      <alignment horizontal="center" vertical="center" wrapText="1"/>
    </xf>
    <xf numFmtId="43" fontId="4" fillId="0" borderId="1" xfId="15" applyFont="1" applyFill="1" applyBorder="1" applyAlignment="1">
      <alignment horizontal="center" vertical="center" wrapText="1"/>
    </xf>
    <xf numFmtId="0" fontId="4" fillId="24" borderId="1" xfId="0" applyFont="1" applyFill="1" applyBorder="1" applyAlignment="1">
      <alignment horizontal="center" vertical="center" wrapText="1"/>
    </xf>
    <xf numFmtId="43" fontId="4" fillId="24" borderId="1" xfId="15" applyFont="1" applyFill="1" applyBorder="1" applyAlignment="1">
      <alignment horizontal="center" vertical="center" wrapText="1"/>
    </xf>
    <xf numFmtId="43" fontId="4" fillId="0" borderId="1" xfId="15" applyFont="1" applyBorder="1" applyAlignment="1">
      <alignment horizontal="center" vertical="center" wrapText="1"/>
    </xf>
    <xf numFmtId="43" fontId="4" fillId="0" borderId="0" xfId="15" applyFont="1" applyAlignment="1">
      <alignment horizontal="center" vertical="center" wrapText="1"/>
    </xf>
    <xf numFmtId="43" fontId="4" fillId="25" borderId="1" xfId="15" applyFont="1" applyFill="1" applyBorder="1" applyAlignment="1">
      <alignment horizontal="center" vertical="center" wrapText="1"/>
    </xf>
    <xf numFmtId="174" fontId="11" fillId="13" borderId="1" xfId="16" applyNumberFormat="1" applyFont="1" applyFill="1" applyBorder="1" applyAlignment="1">
      <alignment horizontal="center" vertical="center"/>
    </xf>
    <xf numFmtId="0" fontId="11" fillId="13" borderId="1" xfId="8" applyFont="1" applyFill="1" applyBorder="1" applyAlignment="1">
      <alignment horizontal="center" vertical="center" wrapText="1"/>
    </xf>
    <xf numFmtId="0" fontId="11" fillId="13" borderId="1" xfId="8" applyFont="1" applyFill="1" applyBorder="1" applyAlignment="1">
      <alignment horizontal="center" vertical="center"/>
    </xf>
    <xf numFmtId="0" fontId="5" fillId="13" borderId="1" xfId="8" applyFont="1" applyFill="1" applyBorder="1" applyAlignment="1">
      <alignment horizontal="center" vertical="center"/>
    </xf>
    <xf numFmtId="0" fontId="25" fillId="24" borderId="1" xfId="0" applyFont="1" applyFill="1" applyBorder="1" applyAlignment="1">
      <alignment horizontal="center" vertical="center" wrapText="1"/>
    </xf>
    <xf numFmtId="43" fontId="25" fillId="24" borderId="1" xfId="15" applyFont="1" applyFill="1" applyBorder="1" applyAlignment="1">
      <alignment horizontal="center" vertical="center" wrapText="1"/>
    </xf>
    <xf numFmtId="0" fontId="30" fillId="13" borderId="1" xfId="14" applyFont="1" applyFill="1" applyBorder="1" applyAlignment="1">
      <alignment horizontal="center" vertical="center"/>
    </xf>
    <xf numFmtId="170" fontId="11" fillId="13" borderId="1" xfId="13" applyNumberFormat="1" applyFont="1" applyFill="1" applyBorder="1" applyAlignment="1" applyProtection="1">
      <alignment horizontal="center" vertical="center" wrapText="1"/>
      <protection locked="0"/>
    </xf>
    <xf numFmtId="0" fontId="5" fillId="13" borderId="1" xfId="11" applyFont="1" applyFill="1" applyBorder="1" applyAlignment="1" applyProtection="1">
      <alignment horizontal="center" vertical="center" wrapText="1"/>
      <protection locked="0"/>
    </xf>
    <xf numFmtId="49" fontId="11" fillId="13" borderId="1" xfId="8" applyNumberFormat="1" applyFont="1" applyFill="1" applyBorder="1" applyAlignment="1">
      <alignment horizontal="center" vertical="center"/>
    </xf>
    <xf numFmtId="0" fontId="11" fillId="13" borderId="1" xfId="8" applyFont="1" applyFill="1" applyBorder="1" applyAlignment="1" applyProtection="1">
      <alignment horizontal="center" vertical="center" wrapText="1"/>
      <protection locked="0"/>
    </xf>
    <xf numFmtId="0" fontId="5" fillId="13" borderId="1" xfId="8" applyFont="1" applyFill="1" applyBorder="1" applyAlignment="1">
      <alignment horizontal="center" vertical="center" wrapText="1"/>
    </xf>
    <xf numFmtId="49" fontId="5" fillId="13" borderId="1" xfId="10" applyFont="1" applyFill="1" applyBorder="1" applyAlignment="1" applyProtection="1">
      <alignment horizontal="center" vertical="center" wrapText="1"/>
      <protection locked="0"/>
    </xf>
    <xf numFmtId="0" fontId="0" fillId="13" borderId="0" xfId="0" applyFill="1"/>
    <xf numFmtId="43" fontId="5" fillId="13" borderId="1" xfId="15" applyFont="1" applyFill="1" applyBorder="1" applyAlignment="1">
      <alignment horizontal="center" vertical="center"/>
    </xf>
    <xf numFmtId="176" fontId="11" fillId="13" borderId="1" xfId="8" applyNumberFormat="1" applyFont="1" applyFill="1" applyBorder="1" applyAlignment="1">
      <alignment horizontal="center" vertical="center"/>
    </xf>
    <xf numFmtId="176" fontId="5" fillId="13" borderId="1" xfId="8" applyNumberFormat="1" applyFont="1" applyFill="1" applyBorder="1" applyAlignment="1">
      <alignment horizontal="center" vertical="center"/>
    </xf>
    <xf numFmtId="0" fontId="11" fillId="13" borderId="1" xfId="11" applyFont="1" applyFill="1" applyBorder="1" applyAlignment="1" applyProtection="1">
      <alignment horizontal="center" vertical="center" wrapText="1"/>
      <protection locked="0"/>
    </xf>
    <xf numFmtId="171" fontId="5" fillId="13" borderId="1" xfId="6" applyFont="1" applyFill="1" applyBorder="1" applyAlignment="1">
      <alignment horizontal="center" vertical="center"/>
    </xf>
    <xf numFmtId="171" fontId="5" fillId="13" borderId="1" xfId="6" applyFont="1" applyFill="1" applyBorder="1" applyAlignment="1">
      <alignment horizontal="center" vertical="center" wrapText="1"/>
    </xf>
    <xf numFmtId="0" fontId="5" fillId="13" borderId="1" xfId="11" applyFont="1" applyFill="1" applyBorder="1" applyAlignment="1">
      <alignment horizontal="center" vertical="center" wrapText="1"/>
    </xf>
    <xf numFmtId="176" fontId="5" fillId="13" borderId="1" xfId="8" applyNumberFormat="1" applyFont="1" applyFill="1" applyBorder="1" applyAlignment="1">
      <alignment horizontal="center" vertical="center" wrapText="1"/>
    </xf>
    <xf numFmtId="14" fontId="5" fillId="13" borderId="1" xfId="8" applyNumberFormat="1" applyFont="1" applyFill="1" applyBorder="1" applyAlignment="1">
      <alignment horizontal="center" vertical="center" wrapText="1"/>
    </xf>
    <xf numFmtId="176" fontId="11" fillId="13" borderId="1" xfId="6" applyNumberFormat="1" applyFont="1" applyFill="1" applyBorder="1" applyAlignment="1">
      <alignment horizontal="center" vertical="center"/>
    </xf>
    <xf numFmtId="0" fontId="11" fillId="13" borderId="1" xfId="17" applyNumberFormat="1" applyFont="1" applyFill="1" applyBorder="1" applyAlignment="1" applyProtection="1">
      <alignment horizontal="center" vertical="center" wrapText="1"/>
      <protection locked="0"/>
    </xf>
    <xf numFmtId="176" fontId="11" fillId="13" borderId="1" xfId="8" applyNumberFormat="1" applyFont="1" applyFill="1" applyBorder="1" applyAlignment="1">
      <alignment horizontal="center" vertical="center" wrapText="1"/>
    </xf>
    <xf numFmtId="49" fontId="11" fillId="13" borderId="1" xfId="10" applyFont="1" applyFill="1" applyBorder="1" applyAlignment="1" applyProtection="1">
      <alignment horizontal="center" vertical="center" wrapText="1"/>
      <protection locked="0"/>
    </xf>
    <xf numFmtId="14" fontId="5" fillId="13" borderId="1" xfId="18" applyNumberFormat="1" applyFont="1" applyFill="1" applyBorder="1" applyAlignment="1">
      <alignment horizontal="center" vertical="center"/>
    </xf>
    <xf numFmtId="0" fontId="11" fillId="13" borderId="1" xfId="10" applyNumberFormat="1" applyFont="1" applyFill="1" applyBorder="1" applyAlignment="1" applyProtection="1">
      <alignment horizontal="center" vertical="center" wrapText="1"/>
      <protection locked="0"/>
    </xf>
    <xf numFmtId="43" fontId="5" fillId="13" borderId="1" xfId="18" applyFont="1" applyFill="1" applyBorder="1" applyAlignment="1">
      <alignment horizontal="center" vertical="center"/>
    </xf>
    <xf numFmtId="49" fontId="5" fillId="13" borderId="1" xfId="8" applyNumberFormat="1" applyFont="1" applyFill="1" applyBorder="1" applyAlignment="1">
      <alignment horizontal="center" vertical="center"/>
    </xf>
    <xf numFmtId="1" fontId="4" fillId="24" borderId="1" xfId="15" applyNumberFormat="1" applyFont="1" applyFill="1" applyBorder="1" applyAlignment="1">
      <alignment horizontal="center" vertical="center" wrapText="1"/>
    </xf>
    <xf numFmtId="178" fontId="4" fillId="24" borderId="1" xfId="15" applyNumberFormat="1" applyFont="1" applyFill="1" applyBorder="1" applyAlignment="1">
      <alignment horizontal="center" vertical="center" wrapText="1"/>
    </xf>
    <xf numFmtId="174" fontId="5" fillId="13" borderId="1" xfId="16" applyNumberFormat="1" applyFont="1" applyFill="1" applyBorder="1" applyAlignment="1">
      <alignment horizontal="center" vertical="center"/>
    </xf>
    <xf numFmtId="174" fontId="11" fillId="13" borderId="1" xfId="16" applyNumberFormat="1" applyFont="1" applyFill="1" applyBorder="1" applyAlignment="1">
      <alignment horizontal="center" vertical="center" wrapText="1"/>
    </xf>
    <xf numFmtId="14" fontId="5" fillId="13" borderId="1" xfId="8" applyNumberFormat="1" applyFont="1" applyFill="1" applyBorder="1" applyAlignment="1">
      <alignment horizontal="center" vertical="center"/>
    </xf>
    <xf numFmtId="0" fontId="29" fillId="13" borderId="1" xfId="19" applyFont="1" applyFill="1" applyBorder="1" applyAlignment="1">
      <alignment horizontal="center" vertical="center" wrapText="1"/>
    </xf>
    <xf numFmtId="0" fontId="29" fillId="13" borderId="1" xfId="8" applyFont="1" applyFill="1" applyBorder="1" applyAlignment="1">
      <alignment horizontal="center" vertical="center" wrapText="1"/>
    </xf>
    <xf numFmtId="0" fontId="24" fillId="13" borderId="1" xfId="0" applyFont="1" applyFill="1" applyBorder="1" applyAlignment="1">
      <alignment horizontal="center"/>
    </xf>
    <xf numFmtId="43" fontId="0" fillId="0" borderId="0" xfId="0" applyNumberFormat="1"/>
    <xf numFmtId="0" fontId="24" fillId="13" borderId="1" xfId="0" applyFont="1" applyFill="1" applyBorder="1" applyAlignment="1">
      <alignment horizontal="center" vertical="center" wrapText="1"/>
    </xf>
    <xf numFmtId="0" fontId="24" fillId="13" borderId="1" xfId="0" applyFont="1" applyFill="1" applyBorder="1" applyAlignment="1">
      <alignment horizontal="center" vertical="center"/>
    </xf>
    <xf numFmtId="43" fontId="4" fillId="0" borderId="0" xfId="0" applyNumberFormat="1" applyFont="1" applyAlignment="1">
      <alignment horizontal="center" vertical="center" wrapText="1"/>
    </xf>
    <xf numFmtId="0" fontId="31" fillId="0" borderId="0" xfId="0" applyFont="1"/>
    <xf numFmtId="166" fontId="0" fillId="0" borderId="0" xfId="2" applyFont="1"/>
    <xf numFmtId="0" fontId="7" fillId="5" borderId="1" xfId="0" applyFont="1" applyFill="1" applyBorder="1" applyAlignment="1">
      <alignment horizontal="center" vertical="center"/>
    </xf>
    <xf numFmtId="0" fontId="14" fillId="7" borderId="1" xfId="0" applyFont="1" applyFill="1" applyBorder="1" applyAlignment="1">
      <alignment horizontal="center" vertical="center" wrapText="1"/>
    </xf>
    <xf numFmtId="164" fontId="14" fillId="7" borderId="1" xfId="1" applyFont="1" applyFill="1" applyBorder="1" applyAlignment="1">
      <alignment horizontal="center" vertical="center" wrapText="1"/>
    </xf>
    <xf numFmtId="0" fontId="14" fillId="9" borderId="1" xfId="5" applyFont="1" applyFill="1" applyBorder="1" applyAlignment="1" applyProtection="1">
      <alignment horizontal="center" vertical="center" wrapText="1"/>
    </xf>
    <xf numFmtId="170" fontId="14" fillId="9" borderId="1" xfId="3" applyNumberFormat="1" applyFont="1" applyFill="1" applyBorder="1" applyAlignment="1" applyProtection="1">
      <alignment horizontal="center" vertical="center" wrapText="1"/>
    </xf>
    <xf numFmtId="170" fontId="14" fillId="10" borderId="1" xfId="3" applyNumberFormat="1" applyFont="1" applyFill="1" applyBorder="1" applyAlignment="1" applyProtection="1">
      <alignment horizontal="center" vertical="center" wrapText="1"/>
    </xf>
    <xf numFmtId="170" fontId="14" fillId="5" borderId="1" xfId="3" applyNumberFormat="1" applyFont="1" applyFill="1" applyBorder="1" applyAlignment="1" applyProtection="1">
      <alignment horizontal="center" vertical="center" wrapText="1"/>
    </xf>
    <xf numFmtId="14" fontId="14" fillId="5" borderId="1" xfId="3" applyNumberFormat="1" applyFont="1" applyFill="1" applyBorder="1" applyAlignment="1" applyProtection="1">
      <alignment horizontal="center" vertical="center" wrapText="1"/>
    </xf>
    <xf numFmtId="171" fontId="14" fillId="5" borderId="1" xfId="6" applyFont="1" applyFill="1" applyBorder="1" applyAlignment="1" applyProtection="1">
      <alignment horizontal="center" vertical="center" wrapText="1"/>
    </xf>
    <xf numFmtId="0" fontId="14" fillId="5" borderId="1" xfId="8" applyFont="1" applyFill="1" applyBorder="1" applyAlignment="1">
      <alignment horizontal="center" vertical="center" wrapText="1"/>
    </xf>
    <xf numFmtId="166" fontId="4" fillId="26" borderId="1" xfId="2" applyFont="1" applyFill="1" applyBorder="1" applyAlignment="1">
      <alignment horizontal="center" vertical="center" wrapText="1"/>
    </xf>
    <xf numFmtId="0" fontId="4" fillId="27" borderId="1" xfId="0" applyFont="1" applyFill="1" applyBorder="1" applyAlignment="1">
      <alignment horizontal="center" vertical="center" wrapText="1"/>
    </xf>
    <xf numFmtId="43" fontId="4" fillId="27" borderId="1" xfId="15" applyFont="1" applyFill="1" applyBorder="1" applyAlignment="1">
      <alignment horizontal="center" vertical="center" wrapText="1"/>
    </xf>
    <xf numFmtId="178" fontId="4" fillId="0" borderId="1" xfId="15" applyNumberFormat="1" applyFont="1" applyFill="1" applyBorder="1" applyAlignment="1">
      <alignment horizontal="center" vertical="center" wrapText="1"/>
    </xf>
    <xf numFmtId="43" fontId="0" fillId="0" borderId="0" xfId="15" applyFont="1"/>
    <xf numFmtId="43" fontId="4" fillId="11" borderId="1" xfId="15" applyFont="1" applyFill="1" applyBorder="1" applyAlignment="1">
      <alignment horizontal="center" vertical="center" wrapText="1"/>
    </xf>
    <xf numFmtId="43" fontId="25" fillId="24" borderId="1" xfId="15" applyFont="1" applyFill="1" applyBorder="1" applyAlignment="1" applyProtection="1">
      <alignment horizontal="center" vertical="center"/>
      <protection hidden="1"/>
    </xf>
    <xf numFmtId="0" fontId="25" fillId="13" borderId="1" xfId="0" applyFont="1" applyFill="1" applyBorder="1" applyAlignment="1">
      <alignment horizontal="center" vertical="center" wrapText="1"/>
    </xf>
    <xf numFmtId="0" fontId="4" fillId="13" borderId="1" xfId="0" applyFont="1" applyFill="1" applyBorder="1" applyAlignment="1">
      <alignment horizontal="center" vertical="center" wrapText="1"/>
    </xf>
    <xf numFmtId="43" fontId="4" fillId="13" borderId="1" xfId="15" applyFont="1" applyFill="1" applyBorder="1" applyAlignment="1">
      <alignment horizontal="center" vertical="center" wrapText="1"/>
    </xf>
    <xf numFmtId="179" fontId="4" fillId="13" borderId="1" xfId="15" applyNumberFormat="1" applyFont="1" applyFill="1" applyBorder="1" applyAlignment="1">
      <alignment horizontal="center" vertical="center" wrapText="1"/>
    </xf>
    <xf numFmtId="43" fontId="7" fillId="0" borderId="1" xfId="15" applyFont="1" applyBorder="1" applyAlignment="1">
      <alignment horizontal="center" vertical="center" wrapText="1"/>
    </xf>
    <xf numFmtId="43" fontId="4" fillId="16" borderId="1" xfId="15" applyFont="1" applyFill="1" applyBorder="1" applyAlignment="1">
      <alignment horizontal="center" vertical="center" wrapText="1"/>
    </xf>
    <xf numFmtId="42" fontId="4" fillId="9" borderId="1" xfId="20" applyFont="1" applyFill="1" applyBorder="1" applyAlignment="1">
      <alignment horizontal="center" vertical="center" wrapText="1"/>
    </xf>
    <xf numFmtId="43" fontId="25" fillId="0" borderId="0" xfId="15" applyFont="1" applyAlignment="1">
      <alignment horizontal="center" vertical="center" wrapText="1"/>
    </xf>
    <xf numFmtId="43" fontId="14" fillId="4" borderId="1" xfId="15" applyFont="1" applyFill="1" applyBorder="1" applyAlignment="1">
      <alignment horizontal="center" vertical="center" wrapText="1"/>
    </xf>
    <xf numFmtId="43" fontId="25" fillId="9" borderId="1" xfId="15" applyFont="1" applyFill="1" applyBorder="1" applyAlignment="1">
      <alignment horizontal="center" vertical="center" wrapText="1"/>
    </xf>
    <xf numFmtId="165" fontId="25" fillId="9" borderId="1" xfId="15" applyNumberFormat="1" applyFont="1" applyFill="1" applyBorder="1" applyAlignment="1">
      <alignment horizontal="center" vertical="center" wrapText="1"/>
    </xf>
    <xf numFmtId="43" fontId="25" fillId="0" borderId="1" xfId="15" applyFont="1" applyFill="1" applyBorder="1" applyAlignment="1">
      <alignment horizontal="center" vertical="center" wrapText="1"/>
    </xf>
    <xf numFmtId="42" fontId="4" fillId="0" borderId="1" xfId="20" applyFont="1" applyFill="1" applyBorder="1" applyAlignment="1">
      <alignment horizontal="center" vertical="center" wrapText="1"/>
    </xf>
    <xf numFmtId="42" fontId="25" fillId="0" borderId="1" xfId="20" applyFont="1" applyFill="1" applyBorder="1" applyAlignment="1">
      <alignment horizontal="center" vertical="center" wrapText="1"/>
    </xf>
    <xf numFmtId="43" fontId="4" fillId="9" borderId="1" xfId="15" applyFont="1" applyFill="1" applyBorder="1" applyAlignment="1">
      <alignment horizontal="center" vertical="center" wrapText="1"/>
    </xf>
    <xf numFmtId="166" fontId="4" fillId="0" borderId="1" xfId="2" applyFont="1" applyFill="1" applyBorder="1" applyAlignment="1">
      <alignment horizontal="center" vertical="center" wrapText="1"/>
    </xf>
    <xf numFmtId="42" fontId="4" fillId="5" borderId="1" xfId="20" applyFont="1" applyFill="1" applyBorder="1" applyAlignment="1">
      <alignment horizontal="center" vertical="center" wrapText="1"/>
    </xf>
    <xf numFmtId="0" fontId="9" fillId="0" borderId="1" xfId="4" applyBorder="1" applyAlignment="1">
      <alignment horizontal="center" vertical="center" wrapText="1"/>
    </xf>
    <xf numFmtId="44" fontId="4" fillId="0" borderId="0" xfId="0" applyNumberFormat="1" applyFont="1" applyAlignment="1">
      <alignment horizontal="center" vertical="center" wrapText="1"/>
    </xf>
    <xf numFmtId="0" fontId="0" fillId="0" borderId="0" xfId="0" applyAlignment="1">
      <alignment vertical="center"/>
    </xf>
    <xf numFmtId="43" fontId="0" fillId="0" borderId="0" xfId="0" applyNumberFormat="1" applyAlignment="1">
      <alignment vertical="center"/>
    </xf>
    <xf numFmtId="0" fontId="4" fillId="28" borderId="1" xfId="0" applyFont="1" applyFill="1" applyBorder="1" applyAlignment="1">
      <alignment horizontal="center" vertical="center" wrapText="1"/>
    </xf>
    <xf numFmtId="0" fontId="4" fillId="28" borderId="0" xfId="0" applyFont="1" applyFill="1" applyAlignment="1">
      <alignment horizontal="center" vertical="center" wrapText="1"/>
    </xf>
    <xf numFmtId="0" fontId="22" fillId="0" borderId="1" xfId="8" applyNumberFormat="1" applyFont="1" applyFill="1" applyBorder="1" applyAlignment="1">
      <alignment horizontal="left" vertical="center" wrapText="1"/>
    </xf>
    <xf numFmtId="0" fontId="22" fillId="14" borderId="1" xfId="0" applyFont="1" applyFill="1" applyBorder="1" applyAlignment="1">
      <alignment horizontal="center" vertical="center" wrapText="1"/>
    </xf>
    <xf numFmtId="0" fontId="22" fillId="0" borderId="1" xfId="0" applyFont="1" applyFill="1" applyBorder="1" applyAlignment="1">
      <alignment horizontal="center" vertical="center"/>
    </xf>
    <xf numFmtId="165" fontId="4" fillId="0" borderId="0" xfId="0" applyNumberFormat="1" applyFont="1" applyFill="1" applyAlignment="1">
      <alignment horizontal="center" vertical="center" wrapText="1"/>
    </xf>
    <xf numFmtId="0" fontId="4" fillId="29" borderId="1" xfId="0" applyFont="1" applyFill="1" applyBorder="1" applyAlignment="1">
      <alignment horizontal="center" vertical="center" wrapText="1"/>
    </xf>
    <xf numFmtId="0" fontId="4" fillId="30" borderId="1" xfId="0" applyFont="1" applyFill="1" applyBorder="1" applyAlignment="1">
      <alignment horizontal="center" vertical="center" wrapText="1"/>
    </xf>
    <xf numFmtId="43" fontId="4" fillId="30" borderId="1" xfId="15" applyFont="1" applyFill="1" applyBorder="1" applyAlignment="1">
      <alignment horizontal="center" vertical="center" wrapText="1"/>
    </xf>
    <xf numFmtId="165" fontId="4" fillId="30" borderId="1" xfId="0" applyNumberFormat="1" applyFont="1" applyFill="1" applyBorder="1" applyAlignment="1">
      <alignment horizontal="center" vertical="center" wrapText="1"/>
    </xf>
    <xf numFmtId="0" fontId="4" fillId="24" borderId="1" xfId="0" applyNumberFormat="1" applyFont="1" applyFill="1" applyBorder="1" applyAlignment="1">
      <alignment horizontal="center" vertical="center" wrapText="1"/>
    </xf>
    <xf numFmtId="170" fontId="25" fillId="0" borderId="1" xfId="13" applyNumberFormat="1" applyFont="1" applyFill="1" applyBorder="1" applyAlignment="1">
      <alignment horizontal="center" vertical="center" wrapText="1"/>
    </xf>
    <xf numFmtId="170" fontId="25" fillId="0" borderId="4" xfId="13" applyNumberFormat="1" applyFont="1" applyFill="1" applyBorder="1" applyAlignment="1">
      <alignment horizontal="center" vertical="center" wrapText="1"/>
    </xf>
    <xf numFmtId="0" fontId="5" fillId="0" borderId="0" xfId="0" applyFont="1" applyFill="1" applyAlignment="1">
      <alignment horizontal="center" vertical="center" wrapText="1"/>
    </xf>
    <xf numFmtId="0" fontId="25" fillId="31" borderId="1" xfId="0" applyFont="1" applyFill="1" applyBorder="1" applyAlignment="1">
      <alignment horizontal="center" vertical="center" wrapText="1"/>
    </xf>
    <xf numFmtId="43" fontId="4" fillId="0" borderId="0" xfId="0" applyNumberFormat="1" applyFont="1" applyFill="1" applyAlignment="1">
      <alignment horizontal="center" vertical="center" wrapText="1"/>
    </xf>
    <xf numFmtId="166" fontId="4" fillId="0" borderId="0" xfId="2" applyFont="1" applyFill="1" applyAlignment="1">
      <alignment horizontal="center" vertical="center" wrapText="1"/>
    </xf>
    <xf numFmtId="172" fontId="25" fillId="0" borderId="1" xfId="12" applyNumberFormat="1" applyFont="1" applyFill="1" applyBorder="1" applyAlignment="1">
      <alignment horizontal="left" vertical="center" wrapText="1"/>
    </xf>
    <xf numFmtId="0" fontId="32" fillId="0" borderId="0" xfId="0" applyFont="1" applyAlignment="1">
      <alignment horizontal="center" vertical="center" wrapText="1"/>
    </xf>
    <xf numFmtId="165" fontId="4" fillId="0" borderId="0" xfId="0" applyNumberFormat="1" applyFont="1" applyAlignment="1">
      <alignment horizontal="center" vertical="center" wrapText="1"/>
    </xf>
    <xf numFmtId="44" fontId="4" fillId="0" borderId="0" xfId="0" applyNumberFormat="1" applyFont="1" applyFill="1" applyAlignment="1">
      <alignment horizontal="center" vertical="center" wrapText="1"/>
    </xf>
    <xf numFmtId="0" fontId="22" fillId="24" borderId="1" xfId="0" applyFont="1" applyFill="1" applyBorder="1" applyAlignment="1">
      <alignment horizontal="center" vertical="center" wrapText="1"/>
    </xf>
    <xf numFmtId="43" fontId="22" fillId="24" borderId="1" xfId="15" applyFont="1" applyFill="1" applyBorder="1" applyAlignment="1">
      <alignment horizontal="center" vertical="center" wrapText="1"/>
    </xf>
    <xf numFmtId="14" fontId="4" fillId="30" borderId="1" xfId="0" applyNumberFormat="1" applyFont="1" applyFill="1" applyBorder="1" applyAlignment="1">
      <alignment horizontal="center" vertical="center" wrapText="1"/>
    </xf>
    <xf numFmtId="0" fontId="0" fillId="30" borderId="0" xfId="0" applyFill="1" applyAlignment="1">
      <alignment horizontal="center" vertical="center" wrapText="1"/>
    </xf>
    <xf numFmtId="14" fontId="4" fillId="30" borderId="1" xfId="15" applyNumberFormat="1" applyFont="1" applyFill="1" applyBorder="1" applyAlignment="1">
      <alignment horizontal="center" vertical="center" wrapText="1"/>
    </xf>
    <xf numFmtId="0" fontId="4" fillId="30" borderId="0" xfId="0" applyFont="1" applyFill="1" applyAlignment="1">
      <alignment horizontal="center" vertical="center" wrapText="1"/>
    </xf>
    <xf numFmtId="0" fontId="4" fillId="30" borderId="1" xfId="15" applyNumberFormat="1" applyFont="1" applyFill="1" applyBorder="1" applyAlignment="1">
      <alignment horizontal="center" vertical="center" wrapText="1"/>
    </xf>
    <xf numFmtId="43" fontId="25" fillId="30" borderId="1" xfId="15" applyFont="1" applyFill="1" applyBorder="1" applyAlignment="1" applyProtection="1">
      <alignment horizontal="center" vertical="center"/>
      <protection hidden="1"/>
    </xf>
    <xf numFmtId="0" fontId="25" fillId="9"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174" fontId="25" fillId="0" borderId="1" xfId="2" applyNumberFormat="1" applyFont="1" applyBorder="1" applyAlignment="1">
      <alignment horizontal="center" vertical="center" wrapText="1"/>
    </xf>
    <xf numFmtId="0" fontId="33" fillId="0" borderId="1" xfId="4" applyFont="1" applyBorder="1" applyAlignment="1">
      <alignment horizontal="center" vertical="center" wrapText="1"/>
    </xf>
    <xf numFmtId="42" fontId="25" fillId="5" borderId="1" xfId="20" applyFont="1" applyFill="1" applyBorder="1" applyAlignment="1">
      <alignment horizontal="center" vertical="center" wrapText="1"/>
    </xf>
    <xf numFmtId="166" fontId="25" fillId="0" borderId="1" xfId="2" applyFont="1" applyBorder="1" applyAlignment="1">
      <alignment horizontal="center" vertical="center" wrapText="1"/>
    </xf>
    <xf numFmtId="0" fontId="25" fillId="30" borderId="1" xfId="0" applyFont="1" applyFill="1" applyBorder="1" applyAlignment="1">
      <alignment horizontal="center" vertical="center" wrapText="1"/>
    </xf>
    <xf numFmtId="14" fontId="25" fillId="30" borderId="1" xfId="0" applyNumberFormat="1" applyFont="1" applyFill="1" applyBorder="1" applyAlignment="1">
      <alignment horizontal="center" vertical="center" wrapText="1"/>
    </xf>
    <xf numFmtId="43" fontId="25" fillId="30" borderId="1" xfId="15" applyFont="1" applyFill="1" applyBorder="1" applyAlignment="1">
      <alignment horizontal="center" vertical="center" wrapText="1"/>
    </xf>
    <xf numFmtId="43" fontId="25" fillId="25" borderId="1" xfId="15" applyFont="1" applyFill="1" applyBorder="1" applyAlignment="1">
      <alignment horizontal="center" vertical="center" wrapText="1"/>
    </xf>
    <xf numFmtId="0" fontId="25" fillId="0" borderId="1" xfId="11" applyNumberFormat="1" applyFont="1" applyFill="1" applyBorder="1" applyAlignment="1">
      <alignment horizontal="center" vertical="center" wrapText="1"/>
    </xf>
    <xf numFmtId="0" fontId="9" fillId="0" borderId="1" xfId="4" applyFont="1" applyFill="1" applyBorder="1" applyAlignment="1">
      <alignment horizontal="center" vertical="center" wrapText="1"/>
    </xf>
    <xf numFmtId="174" fontId="4" fillId="0" borderId="4" xfId="2" applyNumberFormat="1" applyFont="1" applyFill="1" applyBorder="1" applyAlignment="1">
      <alignment horizontal="center" vertical="center"/>
    </xf>
    <xf numFmtId="0" fontId="2" fillId="0" borderId="12" xfId="0" applyFont="1" applyBorder="1" applyAlignment="1">
      <alignment horizontal="center" vertical="center" wrapText="1"/>
    </xf>
    <xf numFmtId="0" fontId="20" fillId="0" borderId="0" xfId="0" applyFont="1" applyAlignment="1">
      <alignment horizontal="center" vertical="center" wrapText="1"/>
    </xf>
    <xf numFmtId="0" fontId="34" fillId="0" borderId="12" xfId="0" applyFont="1" applyBorder="1" applyAlignment="1">
      <alignment horizontal="center" vertical="center" wrapText="1"/>
    </xf>
  </cellXfs>
  <cellStyles count="21">
    <cellStyle name="BodyStyle" xfId="10" xr:uid="{00000000-0005-0000-0000-000000000000}"/>
    <cellStyle name="Énfasis1" xfId="3" builtinId="29"/>
    <cellStyle name="HeaderStyle" xfId="5" xr:uid="{00000000-0005-0000-0000-000002000000}"/>
    <cellStyle name="Hipervínculo" xfId="4" builtinId="8"/>
    <cellStyle name="Millares" xfId="15" builtinId="3"/>
    <cellStyle name="Millares [0]" xfId="1" builtinId="6"/>
    <cellStyle name="Millares [0] 4" xfId="6" xr:uid="{00000000-0005-0000-0000-000006000000}"/>
    <cellStyle name="Millares 2" xfId="18" xr:uid="{00000000-0005-0000-0000-000007000000}"/>
    <cellStyle name="Millares 2 4" xfId="17" xr:uid="{00000000-0005-0000-0000-000008000000}"/>
    <cellStyle name="Millares 3" xfId="13" xr:uid="{00000000-0005-0000-0000-000009000000}"/>
    <cellStyle name="Moneda" xfId="2" builtinId="4"/>
    <cellStyle name="Moneda [0]" xfId="20" builtinId="7"/>
    <cellStyle name="Moneda 2" xfId="7" xr:uid="{00000000-0005-0000-0000-00000C000000}"/>
    <cellStyle name="Moneda 2 2" xfId="16" xr:uid="{00000000-0005-0000-0000-00000D000000}"/>
    <cellStyle name="Normal" xfId="0" builtinId="0"/>
    <cellStyle name="Normal 2" xfId="19" xr:uid="{00000000-0005-0000-0000-00000F000000}"/>
    <cellStyle name="Normal 2 2" xfId="11" xr:uid="{00000000-0005-0000-0000-000010000000}"/>
    <cellStyle name="Normal 2 2 2 2 2" xfId="8" xr:uid="{00000000-0005-0000-0000-000011000000}"/>
    <cellStyle name="Normal 3" xfId="9" xr:uid="{00000000-0005-0000-0000-000012000000}"/>
    <cellStyle name="Normal 3 3" xfId="12" xr:uid="{00000000-0005-0000-0000-000013000000}"/>
    <cellStyle name="Normal 7" xfId="14" xr:uid="{00000000-0005-0000-0000-000014000000}"/>
  </cellStyles>
  <dxfs count="72">
    <dxf>
      <font>
        <b val="0"/>
        <i val="0"/>
        <strike val="0"/>
        <condense val="0"/>
        <extend val="0"/>
        <outline val="0"/>
        <shadow val="0"/>
        <u val="none"/>
        <vertAlign val="baseline"/>
        <sz val="12"/>
        <color theme="1"/>
        <name val="Arial"/>
        <scheme val="none"/>
      </font>
      <numFmt numFmtId="166" formatCode="_(&quot;$&quot;\ * #,##0.00_);_(&quot;$&quot;\ * \(#,##0.00\);_(&quot;$&quot;\ *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numFmt numFmtId="166" formatCode="_(&quot;$&quot;\ * #,##0.00_);_(&quot;$&quot;\ * \(#,##0.00\);_(&quot;$&quot;\ *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numFmt numFmtId="166" formatCode="_(&quot;$&quot;\ * #,##0.00_);_(&quot;$&quot;\ * \(#,##0.00\);_(&quot;$&quot;\ *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numFmt numFmtId="169" formatCode="&quot;$&quot;\ #,##0"/>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2"/>
        <name val="Arial"/>
        <scheme val="none"/>
      </font>
      <numFmt numFmtId="169" formatCode="&quot;$&quot;\ #,##0"/>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2"/>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numFmt numFmtId="166" formatCode="_(&quot;$&quot;\ * #,##0.00_);_(&quot;$&quot;\ * \(#,##0.00\);_(&quot;$&quot;\ *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2"/>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2"/>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2"/>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2"/>
        <name val="Arial"/>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right style="thin">
          <color auto="1"/>
        </right>
        <bottom style="thin">
          <color auto="1"/>
        </bottom>
      </border>
    </dxf>
    <dxf>
      <font>
        <strike val="0"/>
        <outline val="0"/>
        <shadow val="0"/>
        <u val="none"/>
        <vertAlign val="baseline"/>
        <sz val="12"/>
        <name val="Arial"/>
        <scheme val="none"/>
      </font>
    </dxf>
    <dxf>
      <font>
        <b/>
        <i val="0"/>
        <strike val="0"/>
        <condense val="0"/>
        <extend val="0"/>
        <outline val="0"/>
        <shadow val="0"/>
        <u val="none"/>
        <vertAlign val="baseline"/>
        <sz val="12"/>
        <color auto="1"/>
        <name val="Arial"/>
        <scheme val="none"/>
      </fon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auto="1"/>
        </left>
        <right style="thin">
          <color auto="1"/>
        </right>
        <top/>
        <bottom/>
      </border>
    </dxf>
    <dxf>
      <alignment horizontal="center" vertical="center" textRotation="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2"/>
        <color rgb="FF000000"/>
        <name val="Arial"/>
        <scheme val="none"/>
      </font>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s>
  <tableStyles count="0" defaultTableStyle="TableStyleMedium2" defaultPivotStyle="PivotStyleLight16"/>
  <colors>
    <mruColors>
      <color rgb="FFFFFF99"/>
      <color rgb="FFCCFFCC"/>
      <color rgb="FFCC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MARTHA/PLANEACION%202021/FINALES/PLAN%20DE%20ADQUISICIONES%20PROYECTO%20MEJORAMIENT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cuments/MARTHA/PLANEACION%202021/Formatos%20planeaci&#243;n%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 ADQUISICIONES FUNCIONAMIENTO"/>
      <sheetName val="PAA y adquisiciones Inversión"/>
      <sheetName val="Reservas presupuestales"/>
      <sheetName val="COMISIONES"/>
      <sheetName val="EVENTOS"/>
      <sheetName val="Metas cuatrenio"/>
      <sheetName val="Valor Viaticos"/>
      <sheetName val="CÓDIGOS UNSPSC"/>
      <sheetName val="Listas"/>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ow r="1">
          <cell r="A1" t="str">
            <v>Brindar asistencia técnica en educación a las entidades territoriales certificadas para  el mejoramiento de los procesos de atención de las personas con discapacidad visual</v>
          </cell>
          <cell r="B1" t="str">
            <v>MC-01</v>
          </cell>
          <cell r="C1" t="str">
            <v>PROYECTO MEJORAMIENTO DE LAS CONDICIONES PARA LA GARANTÍA DE LOS DERECHOS DE LAS PERSONAS CON DISCAPACIDAD VISUAL EN EL PAÍS</v>
          </cell>
          <cell r="D1" t="str">
            <v>Contratación directa</v>
          </cell>
          <cell r="F1" t="str">
            <v>CONTRATO PRESTACIÓN SERVICIOS (Técnico)</v>
          </cell>
          <cell r="K1" t="str">
            <v>Direccionamiento Estratégico</v>
          </cell>
          <cell r="M1" t="str">
            <v>Direccionamiento Estratégico</v>
          </cell>
        </row>
        <row r="2">
          <cell r="A2" t="str">
            <v>Dotar instituciones que atiendan personas con discapacidad visual con libros y textos en braille y material en relieve y macrotipo</v>
          </cell>
          <cell r="B2" t="str">
            <v>MC-02</v>
          </cell>
          <cell r="C2" t="str">
            <v>PROYECTO FORTALECIMIENTO DE PROCESOS Y RECURSOS DEL INCI PARA CONTRIBUIR CON EL MEJORAMIENTO DE SERVICIOS A LAS PERSONAS CON DISCAPACIDAD VISUAL</v>
          </cell>
          <cell r="D2" t="str">
            <v>Minima Cuantía</v>
          </cell>
          <cell r="F2" t="str">
            <v>CONTRATO  PRESTACIÓN SERVICIOS PROFESIONALES</v>
          </cell>
          <cell r="K2" t="str">
            <v xml:space="preserve"> Comunicaciones</v>
          </cell>
          <cell r="M2" t="str">
            <v xml:space="preserve"> Comunicaciones</v>
          </cell>
        </row>
        <row r="3">
          <cell r="A3" t="str">
            <v>Brindar asesoría a entidades públicas y privadas que generen condiciones de accesibilidad al espacio físico, a la información y al uso de tecnología especializada para las personas con discapacidad visual</v>
          </cell>
          <cell r="B3" t="str">
            <v>MC-03</v>
          </cell>
          <cell r="D3" t="str">
            <v>Menor Cuantía</v>
          </cell>
          <cell r="F3" t="str">
            <v>TIQUETE TERRESTRE</v>
          </cell>
          <cell r="K3" t="str">
            <v xml:space="preserve">Asistencia Técnica
</v>
          </cell>
          <cell r="M3" t="str">
            <v>Grupo Accesibilidad</v>
          </cell>
        </row>
        <row r="4">
          <cell r="A4" t="str">
            <v>Asesorar a las instancias competentes para promover la empleabilidad de las personas con discapacidad visual</v>
          </cell>
          <cell r="B4" t="str">
            <v>FP-01</v>
          </cell>
          <cell r="D4" t="str">
            <v>No es contrato</v>
          </cell>
          <cell r="F4" t="str">
            <v>TIQUETE AÉREO</v>
          </cell>
          <cell r="K4" t="str">
            <v xml:space="preserve">Centro Cultural
</v>
          </cell>
          <cell r="M4" t="str">
            <v xml:space="preserve"> Grupo Gestión Interinstitucional</v>
          </cell>
        </row>
        <row r="5">
          <cell r="A5" t="str">
            <v>Gestionar documentos de propuestas normativas para hacer efectivos los derechos de las personas con discapacidad visual</v>
          </cell>
          <cell r="B5" t="str">
            <v>FP-02</v>
          </cell>
          <cell r="F5" t="str">
            <v>VIÁTICOS</v>
          </cell>
          <cell r="K5" t="str">
            <v xml:space="preserve">Unidades Productivas
</v>
          </cell>
          <cell r="M5" t="str">
            <v xml:space="preserve">Grupo Educación
</v>
          </cell>
        </row>
        <row r="6">
          <cell r="A6" t="str">
            <v>Desarrollar ejercicios de investigación para mejorar las condiciones de inclusión de las personas con discapacidad visual</v>
          </cell>
          <cell r="B6" t="str">
            <v>FP-03</v>
          </cell>
          <cell r="F6" t="str">
            <v>SERVICIO</v>
          </cell>
          <cell r="K6" t="str">
            <v>Producción radial y audiovisual</v>
          </cell>
          <cell r="M6" t="str">
            <v xml:space="preserve">Centro Cultural
</v>
          </cell>
        </row>
        <row r="7">
          <cell r="A7" t="str">
            <v>Promover y asesorar a organizaciones sociales, familia y  otros colectivos de personas con discapacidad visual, para  la participación y el ejercicio de sus derechos</v>
          </cell>
          <cell r="B7" t="str">
            <v>FP-04</v>
          </cell>
          <cell r="F7" t="str">
            <v>SUMINISTRO</v>
          </cell>
          <cell r="K7" t="str">
            <v xml:space="preserve">Informática y Tecnología
</v>
          </cell>
          <cell r="M7" t="str">
            <v xml:space="preserve">Unidades Productivas
</v>
          </cell>
        </row>
        <row r="8">
          <cell r="A8" t="str">
            <v>Desarrollar talleres especializados en temas relacionados con la discapacidad visual</v>
          </cell>
          <cell r="B8" t="str">
            <v>FP-05</v>
          </cell>
          <cell r="K8" t="str">
            <v xml:space="preserve">Gestión documental
</v>
          </cell>
          <cell r="M8" t="str">
            <v>Producción radial y audiovisual</v>
          </cell>
        </row>
        <row r="9">
          <cell r="A9" t="str">
            <v>Producir y publicar en formatos accesibles documentos para personas con discapacidad visual</v>
          </cell>
          <cell r="B9" t="str">
            <v>GG001</v>
          </cell>
          <cell r="K9" t="str">
            <v xml:space="preserve">Gestión Contractual
</v>
          </cell>
          <cell r="M9" t="str">
            <v xml:space="preserve">Informática y Tecnología
</v>
          </cell>
        </row>
        <row r="10">
          <cell r="A10" t="str">
            <v>Realizar exposiciones para personas con discapacidad visual y público en general en la sala multisensorial</v>
          </cell>
          <cell r="B10" t="str">
            <v>GG002</v>
          </cell>
          <cell r="K10" t="str">
            <v xml:space="preserve">Gestión Jurídica
</v>
          </cell>
          <cell r="M10" t="str">
            <v xml:space="preserve">Gestión documental
</v>
          </cell>
        </row>
        <row r="11">
          <cell r="A11" t="str">
            <v>Desarrollar campañas de comunicación relacionadas con la temática de discapacidad visual y el quehacer institucional</v>
          </cell>
          <cell r="B11" t="str">
            <v>GG003</v>
          </cell>
          <cell r="K11" t="str">
            <v xml:space="preserve">Servicio al ciudadano
</v>
          </cell>
          <cell r="M11" t="str">
            <v xml:space="preserve">Gestión Contractual
</v>
          </cell>
        </row>
        <row r="12">
          <cell r="A12" t="str">
            <v>Producir y adaptar material audiovisual para promover la inclusión de las personas con discapacidad visual</v>
          </cell>
          <cell r="B12" t="str">
            <v>GG004</v>
          </cell>
          <cell r="K12" t="str">
            <v>Gestión Humana</v>
          </cell>
          <cell r="M12" t="str">
            <v xml:space="preserve">Gestión Jurídica
</v>
          </cell>
        </row>
        <row r="13">
          <cell r="A13" t="str">
            <v>Producir y emitir contenidos radiales para promover la inclusión de las personas con discapacidad visual</v>
          </cell>
          <cell r="B13" t="str">
            <v>GG005</v>
          </cell>
          <cell r="K13" t="str">
            <v xml:space="preserve">Evaluación y Mejoramiento
</v>
          </cell>
          <cell r="M13" t="str">
            <v xml:space="preserve">Servicio al ciudadano
</v>
          </cell>
        </row>
        <row r="14">
          <cell r="A14" t="str">
            <v>Disponer de material, productos y ayudas para la adquisición por parte de las  personas con discapacidad visual</v>
          </cell>
          <cell r="B14" t="str">
            <v>GG006</v>
          </cell>
          <cell r="K14" t="str">
            <v xml:space="preserve">Financiero
</v>
          </cell>
          <cell r="M14" t="str">
            <v>Gestión Humana</v>
          </cell>
        </row>
        <row r="15">
          <cell r="A15" t="str">
            <v>Transcribir e imprimir libros, textos y material para las personas con discapacidad visual</v>
          </cell>
          <cell r="B15" t="str">
            <v>GG007</v>
          </cell>
          <cell r="K15" t="str">
            <v>Administrativo</v>
          </cell>
          <cell r="M15" t="str">
            <v xml:space="preserve">Evaluación y Mejoramiento
</v>
          </cell>
        </row>
        <row r="16">
          <cell r="B16" t="str">
            <v>GG008</v>
          </cell>
          <cell r="M16" t="str">
            <v xml:space="preserve">Financiero
</v>
          </cell>
        </row>
        <row r="17">
          <cell r="B17" t="str">
            <v>GG009</v>
          </cell>
          <cell r="M17" t="str">
            <v>Administrativo</v>
          </cell>
        </row>
        <row r="18">
          <cell r="B18" t="str">
            <v>GG010</v>
          </cell>
        </row>
        <row r="19">
          <cell r="B19" t="str">
            <v>TR01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agregación"/>
      <sheetName val=" DESAGREGACIÓN FUNCIONAMIEN (2"/>
      <sheetName val="PADQ FUNCIONAMIENTO (2)"/>
      <sheetName val="PAA Y ADQ INVERSIÓN"/>
      <sheetName val="Hoja1"/>
      <sheetName val="Metas"/>
      <sheetName val="COMISIONES"/>
      <sheetName val="MUEBLES"/>
      <sheetName val=" $ DISPONIBLE"/>
      <sheetName val="Código UNSPSC"/>
      <sheetName val="lista"/>
      <sheetName val="Nomin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a6" displayName="Tabla6" ref="J2:O11" totalsRowShown="0" headerRowDxfId="32" headerRowBorderDxfId="31" tableBorderDxfId="30" totalsRowBorderDxfId="29">
  <autoFilter ref="J2:O11" xr:uid="{00000000-0009-0000-0100-000003000000}"/>
  <tableColumns count="6">
    <tableColumn id="1" xr3:uid="{00000000-0010-0000-0000-000001000000}" name="METAS" dataDxfId="28"/>
    <tableColumn id="2" xr3:uid="{00000000-0010-0000-0000-000002000000}" name="2019" dataDxfId="27"/>
    <tableColumn id="3" xr3:uid="{00000000-0010-0000-0000-000003000000}" name="2020" dataDxfId="26"/>
    <tableColumn id="4" xr3:uid="{00000000-0010-0000-0000-000004000000}" name="2021" dataDxfId="25"/>
    <tableColumn id="5" xr3:uid="{00000000-0010-0000-0000-000005000000}" name="2022" dataDxfId="24"/>
    <tableColumn id="6" xr3:uid="{00000000-0010-0000-0000-000006000000}" name="TOTAL CUATRENIO " dataDxfId="23"/>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a2" displayName="Tabla2" ref="A1:J104" totalsRowCount="1" headerRowDxfId="22" dataDxfId="21" tableBorderDxfId="20" headerRowCellStyle="Moneda">
  <autoFilter ref="A1:J103" xr:uid="{00000000-0009-0000-0100-000001000000}"/>
  <tableColumns count="10">
    <tableColumn id="1" xr3:uid="{00000000-0010-0000-0100-000001000000}" name="Meta" dataDxfId="19" totalsRowDxfId="18"/>
    <tableColumn id="2" xr3:uid="{00000000-0010-0000-0100-000002000000}" name="Departamento" dataDxfId="17" totalsRowDxfId="16"/>
    <tableColumn id="3" xr3:uid="{00000000-0010-0000-0100-000003000000}" name="Municipio" dataDxfId="15" totalsRowDxfId="14"/>
    <tableColumn id="4" xr3:uid="{00000000-0010-0000-0100-000004000000}" name="Nombre Servidor público" dataDxfId="13" totalsRowDxfId="12"/>
    <tableColumn id="5" xr3:uid="{00000000-0010-0000-0100-000005000000}" name="Viáticos" dataDxfId="11" totalsRowDxfId="10" dataCellStyle="Moneda"/>
    <tableColumn id="6" xr3:uid="{00000000-0010-0000-0100-000006000000}" name="# días" dataDxfId="9" totalsRowDxfId="8"/>
    <tableColumn id="7" xr3:uid="{00000000-0010-0000-0100-000007000000}" name="SUBTOTAL Viaticos" totalsRowFunction="sum" dataDxfId="7" totalsRowDxfId="6">
      <calculatedColumnFormula>+Tabla2[[#This Row],[Viáticos]]*Tabla2[[#This Row],['# días]]</calculatedColumnFormula>
    </tableColumn>
    <tableColumn id="8" xr3:uid="{00000000-0010-0000-0100-000008000000}" name="Tiquete Aereo" dataDxfId="5" totalsRowDxfId="4" dataCellStyle="Moneda"/>
    <tableColumn id="9" xr3:uid="{00000000-0010-0000-0100-000009000000}" name="Tiquete Terrestre" dataDxfId="3" totalsRowDxfId="2" dataCellStyle="Moneda"/>
    <tableColumn id="10" xr3:uid="{00000000-0010-0000-0100-00000A000000}" name="Columna1" dataDxfId="1" totalsRowDxfId="0" dataCellStyle="Moneda"/>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juridica@inci.gov.co" TargetMode="External"/><Relationship Id="rId18" Type="http://schemas.openxmlformats.org/officeDocument/2006/relationships/hyperlink" Target="mailto:planeacion@inci.gov.co" TargetMode="External"/><Relationship Id="rId26" Type="http://schemas.openxmlformats.org/officeDocument/2006/relationships/hyperlink" Target="mailto:planeacion@inci.gov.co" TargetMode="External"/><Relationship Id="rId39" Type="http://schemas.openxmlformats.org/officeDocument/2006/relationships/hyperlink" Target="mailto:planeacion@inci.gov.co" TargetMode="External"/><Relationship Id="rId21" Type="http://schemas.openxmlformats.org/officeDocument/2006/relationships/hyperlink" Target="mailto:planeacion@inci.gov.co" TargetMode="External"/><Relationship Id="rId34" Type="http://schemas.openxmlformats.org/officeDocument/2006/relationships/hyperlink" Target="mailto:planeacion@inci.gov.co" TargetMode="External"/><Relationship Id="rId42" Type="http://schemas.openxmlformats.org/officeDocument/2006/relationships/hyperlink" Target="mailto:subdireccion@inci.gov.co" TargetMode="External"/><Relationship Id="rId47" Type="http://schemas.openxmlformats.org/officeDocument/2006/relationships/hyperlink" Target="mailto:planeacion@inci.gov.co" TargetMode="External"/><Relationship Id="rId50" Type="http://schemas.openxmlformats.org/officeDocument/2006/relationships/hyperlink" Target="mailto:subdireccion@inci.gov.co" TargetMode="External"/><Relationship Id="rId55" Type="http://schemas.openxmlformats.org/officeDocument/2006/relationships/hyperlink" Target="mailto:subdireccion@inci.gov.co" TargetMode="External"/><Relationship Id="rId7" Type="http://schemas.openxmlformats.org/officeDocument/2006/relationships/hyperlink" Target="mailto:secretariageneral@inci.gov.co" TargetMode="External"/><Relationship Id="rId2" Type="http://schemas.openxmlformats.org/officeDocument/2006/relationships/hyperlink" Target="mailto:subdireccion@inci.gov.co" TargetMode="External"/><Relationship Id="rId16" Type="http://schemas.openxmlformats.org/officeDocument/2006/relationships/hyperlink" Target="mailto:planeacion@inci.gov.co" TargetMode="External"/><Relationship Id="rId29" Type="http://schemas.openxmlformats.org/officeDocument/2006/relationships/hyperlink" Target="mailto:planeacion@inci.gov.co" TargetMode="External"/><Relationship Id="rId11" Type="http://schemas.openxmlformats.org/officeDocument/2006/relationships/hyperlink" Target="mailto:secretariageneral@inci.gov.co" TargetMode="External"/><Relationship Id="rId24" Type="http://schemas.openxmlformats.org/officeDocument/2006/relationships/hyperlink" Target="mailto:planeacion@inci.gov.co" TargetMode="External"/><Relationship Id="rId32" Type="http://schemas.openxmlformats.org/officeDocument/2006/relationships/hyperlink" Target="mailto:juridica@inci.gov.co" TargetMode="External"/><Relationship Id="rId37" Type="http://schemas.openxmlformats.org/officeDocument/2006/relationships/hyperlink" Target="mailto:secretariageneral@inci.gov.co" TargetMode="External"/><Relationship Id="rId40" Type="http://schemas.openxmlformats.org/officeDocument/2006/relationships/hyperlink" Target="mailto:secretariageneral@inci.gov.co" TargetMode="External"/><Relationship Id="rId45" Type="http://schemas.openxmlformats.org/officeDocument/2006/relationships/hyperlink" Target="mailto:planeacion@inci.gov.co" TargetMode="External"/><Relationship Id="rId53" Type="http://schemas.openxmlformats.org/officeDocument/2006/relationships/hyperlink" Target="mailto:subdireccion@inci.gov.co" TargetMode="External"/><Relationship Id="rId58" Type="http://schemas.openxmlformats.org/officeDocument/2006/relationships/hyperlink" Target="mailto:controlinterno@inci.gov.co" TargetMode="External"/><Relationship Id="rId5" Type="http://schemas.openxmlformats.org/officeDocument/2006/relationships/hyperlink" Target="mailto:secretariageneral@inci.gov.co" TargetMode="External"/><Relationship Id="rId61" Type="http://schemas.openxmlformats.org/officeDocument/2006/relationships/vmlDrawing" Target="../drawings/vmlDrawing1.vml"/><Relationship Id="rId19" Type="http://schemas.openxmlformats.org/officeDocument/2006/relationships/hyperlink" Target="mailto:planeacion@inci.gov.co" TargetMode="External"/><Relationship Id="rId14" Type="http://schemas.openxmlformats.org/officeDocument/2006/relationships/hyperlink" Target="mailto:planeacion@inci.gov.co" TargetMode="External"/><Relationship Id="rId22" Type="http://schemas.openxmlformats.org/officeDocument/2006/relationships/hyperlink" Target="mailto:planeacion@inci.gov.co" TargetMode="External"/><Relationship Id="rId27" Type="http://schemas.openxmlformats.org/officeDocument/2006/relationships/hyperlink" Target="mailto:planeacion@inci.gov.co" TargetMode="External"/><Relationship Id="rId30" Type="http://schemas.openxmlformats.org/officeDocument/2006/relationships/hyperlink" Target="mailto:planeacion@inci.gov.co" TargetMode="External"/><Relationship Id="rId35" Type="http://schemas.openxmlformats.org/officeDocument/2006/relationships/hyperlink" Target="mailto:planeacion@inci.gov.co" TargetMode="External"/><Relationship Id="rId43" Type="http://schemas.openxmlformats.org/officeDocument/2006/relationships/hyperlink" Target="mailto:subdireccion@inci.gov.co" TargetMode="External"/><Relationship Id="rId48" Type="http://schemas.openxmlformats.org/officeDocument/2006/relationships/hyperlink" Target="mailto:secretariageneral@inci.gov.co" TargetMode="External"/><Relationship Id="rId56" Type="http://schemas.openxmlformats.org/officeDocument/2006/relationships/hyperlink" Target="mailto:secretariageneral@inci.gov.co" TargetMode="External"/><Relationship Id="rId8" Type="http://schemas.openxmlformats.org/officeDocument/2006/relationships/hyperlink" Target="mailto:secretariageneral@inci.gov.co" TargetMode="External"/><Relationship Id="rId51" Type="http://schemas.openxmlformats.org/officeDocument/2006/relationships/hyperlink" Target="mailto:subdireccion@inci.gov.co" TargetMode="External"/><Relationship Id="rId3" Type="http://schemas.openxmlformats.org/officeDocument/2006/relationships/hyperlink" Target="mailto:subdireccion@inci.gov.co" TargetMode="External"/><Relationship Id="rId12" Type="http://schemas.openxmlformats.org/officeDocument/2006/relationships/hyperlink" Target="mailto:planeacion@inci.gov.co" TargetMode="External"/><Relationship Id="rId17" Type="http://schemas.openxmlformats.org/officeDocument/2006/relationships/hyperlink" Target="mailto:planeacion@inci.gov.co" TargetMode="External"/><Relationship Id="rId25" Type="http://schemas.openxmlformats.org/officeDocument/2006/relationships/hyperlink" Target="mailto:planeacion@inci.gov.co" TargetMode="External"/><Relationship Id="rId33" Type="http://schemas.openxmlformats.org/officeDocument/2006/relationships/hyperlink" Target="mailto:controlinterno@inci.gov.co" TargetMode="External"/><Relationship Id="rId38" Type="http://schemas.openxmlformats.org/officeDocument/2006/relationships/hyperlink" Target="mailto:secretariageneral@inci.gov.co" TargetMode="External"/><Relationship Id="rId46" Type="http://schemas.openxmlformats.org/officeDocument/2006/relationships/hyperlink" Target="mailto:planeacion@inci.gov.co" TargetMode="External"/><Relationship Id="rId59" Type="http://schemas.openxmlformats.org/officeDocument/2006/relationships/hyperlink" Target="mailto:subdireccion@inci.gov.co" TargetMode="External"/><Relationship Id="rId20" Type="http://schemas.openxmlformats.org/officeDocument/2006/relationships/hyperlink" Target="mailto:planeacion@inci.gov.co" TargetMode="External"/><Relationship Id="rId41" Type="http://schemas.openxmlformats.org/officeDocument/2006/relationships/hyperlink" Target="mailto:juridica@inci.gov.co" TargetMode="External"/><Relationship Id="rId54" Type="http://schemas.openxmlformats.org/officeDocument/2006/relationships/hyperlink" Target="mailto:subdireccion@inci.gov.co" TargetMode="External"/><Relationship Id="rId62" Type="http://schemas.openxmlformats.org/officeDocument/2006/relationships/comments" Target="../comments1.xml"/><Relationship Id="rId1" Type="http://schemas.openxmlformats.org/officeDocument/2006/relationships/hyperlink" Target="mailto:subdireccion@inci.gov.co" TargetMode="External"/><Relationship Id="rId6" Type="http://schemas.openxmlformats.org/officeDocument/2006/relationships/hyperlink" Target="mailto:secretariageneral@inci.gov.co" TargetMode="External"/><Relationship Id="rId15" Type="http://schemas.openxmlformats.org/officeDocument/2006/relationships/hyperlink" Target="mailto:planeacion@inci.gov.co" TargetMode="External"/><Relationship Id="rId23" Type="http://schemas.openxmlformats.org/officeDocument/2006/relationships/hyperlink" Target="mailto:planeacion@inci.gov.co" TargetMode="External"/><Relationship Id="rId28" Type="http://schemas.openxmlformats.org/officeDocument/2006/relationships/hyperlink" Target="mailto:planeacion@inci.gov.co" TargetMode="External"/><Relationship Id="rId36" Type="http://schemas.openxmlformats.org/officeDocument/2006/relationships/hyperlink" Target="mailto:planeacion@inci.gov.co" TargetMode="External"/><Relationship Id="rId49" Type="http://schemas.openxmlformats.org/officeDocument/2006/relationships/hyperlink" Target="mailto:planeacion@inci.gov.co" TargetMode="External"/><Relationship Id="rId57" Type="http://schemas.openxmlformats.org/officeDocument/2006/relationships/hyperlink" Target="mailto:secretariageneral@inci.gov.co" TargetMode="External"/><Relationship Id="rId10" Type="http://schemas.openxmlformats.org/officeDocument/2006/relationships/hyperlink" Target="mailto:secretariageneral@inci.gov.co" TargetMode="External"/><Relationship Id="rId31" Type="http://schemas.openxmlformats.org/officeDocument/2006/relationships/hyperlink" Target="mailto:planeacion@inci.gov.co" TargetMode="External"/><Relationship Id="rId44" Type="http://schemas.openxmlformats.org/officeDocument/2006/relationships/hyperlink" Target="mailto:subdireccion@inci.gov.co" TargetMode="External"/><Relationship Id="rId52" Type="http://schemas.openxmlformats.org/officeDocument/2006/relationships/hyperlink" Target="mailto:subdireccion@inci.gov.co" TargetMode="External"/><Relationship Id="rId60" Type="http://schemas.openxmlformats.org/officeDocument/2006/relationships/printerSettings" Target="../printerSettings/printerSettings1.bin"/><Relationship Id="rId4" Type="http://schemas.openxmlformats.org/officeDocument/2006/relationships/hyperlink" Target="mailto:subdireccion@inci.gov.co" TargetMode="External"/><Relationship Id="rId9" Type="http://schemas.openxmlformats.org/officeDocument/2006/relationships/hyperlink" Target="mailto:secretariageneral@inci.gov.co"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178"/>
  <sheetViews>
    <sheetView tabSelected="1" zoomScale="70" zoomScaleNormal="70" workbookViewId="0">
      <pane ySplit="2" topLeftCell="A3" activePane="bottomLeft" state="frozen"/>
      <selection activeCell="B1" sqref="B1"/>
      <selection pane="bottomLeft" activeCell="D3" sqref="D3"/>
    </sheetView>
  </sheetViews>
  <sheetFormatPr baseColWidth="10" defaultColWidth="0" defaultRowHeight="37.5" customHeight="1" zeroHeight="1" x14ac:dyDescent="0.3"/>
  <cols>
    <col min="1" max="1" width="27.88671875" style="5" customWidth="1"/>
    <col min="2" max="2" width="38.5546875" style="5" customWidth="1"/>
    <col min="3" max="3" width="16" style="5" customWidth="1"/>
    <col min="4" max="4" width="37.88671875" style="5" customWidth="1"/>
    <col min="5" max="5" width="24.88671875" style="5" customWidth="1"/>
    <col min="6" max="6" width="27.88671875" style="5" customWidth="1"/>
    <col min="7" max="7" width="53.6640625" style="5" customWidth="1"/>
    <col min="8" max="8" width="22.33203125" style="5" customWidth="1"/>
    <col min="9" max="9" width="23" style="5" customWidth="1"/>
    <col min="10" max="10" width="18.5546875" style="5" customWidth="1"/>
    <col min="11" max="11" width="22.6640625" style="5" customWidth="1"/>
    <col min="12" max="12" width="18.44140625" style="5" customWidth="1"/>
    <col min="13" max="13" width="18.5546875" style="5" customWidth="1"/>
    <col min="14" max="14" width="25" style="5" customWidth="1"/>
    <col min="15" max="15" width="16" style="5" customWidth="1"/>
    <col min="16" max="16" width="21" style="5" customWidth="1"/>
    <col min="17" max="17" width="17.5546875" style="5" customWidth="1"/>
    <col min="18" max="18" width="16" style="5" customWidth="1"/>
    <col min="19" max="19" width="19.44140625" style="90" customWidth="1"/>
    <col min="20" max="20" width="17.44140625" style="90" customWidth="1"/>
    <col min="21" max="21" width="33" style="5" customWidth="1"/>
    <col min="22" max="24" width="18.88671875" style="5" customWidth="1"/>
    <col min="25" max="25" width="16.44140625" style="5" customWidth="1"/>
    <col min="26" max="26" width="14" style="5" customWidth="1"/>
    <col min="27" max="27" width="21.109375" style="254" customWidth="1"/>
    <col min="28" max="28" width="21.33203125" style="6" customWidth="1"/>
    <col min="29" max="29" width="21.44140625" style="5" customWidth="1"/>
    <col min="30" max="30" width="20.5546875" style="5" customWidth="1"/>
    <col min="31" max="31" width="23.109375" style="5" customWidth="1"/>
    <col min="32" max="32" width="16" style="5" customWidth="1"/>
    <col min="33" max="33" width="19.33203125" style="5" customWidth="1"/>
    <col min="34" max="34" width="19.88671875" style="5" customWidth="1"/>
    <col min="35" max="35" width="28.44140625" style="5" customWidth="1"/>
    <col min="36" max="36" width="20.5546875" style="5" customWidth="1"/>
    <col min="37" max="37" width="26.5546875" style="5" customWidth="1"/>
    <col min="38" max="38" width="20" style="183" customWidth="1"/>
    <col min="39" max="39" width="36.5546875" style="5" customWidth="1"/>
    <col min="40" max="40" width="15.109375" style="5" hidden="1"/>
    <col min="41" max="41" width="11.44140625" style="5" hidden="1"/>
    <col min="42" max="42" width="17" style="5" hidden="1"/>
    <col min="43" max="16384" width="11.44140625" style="5" hidden="1"/>
  </cols>
  <sheetData>
    <row r="1" spans="1:39" ht="37.5" customHeight="1" x14ac:dyDescent="0.3">
      <c r="A1" s="312" t="s">
        <v>826</v>
      </c>
      <c r="B1" s="312"/>
      <c r="C1" s="312"/>
      <c r="D1" s="312"/>
      <c r="E1" s="312"/>
      <c r="F1" s="312"/>
      <c r="G1" s="312"/>
      <c r="H1" s="312"/>
      <c r="I1" s="312"/>
      <c r="J1" s="312"/>
      <c r="K1" s="312"/>
      <c r="L1" s="312"/>
      <c r="M1" s="312"/>
      <c r="N1" s="312"/>
      <c r="O1" s="312"/>
      <c r="P1" s="312"/>
      <c r="Q1" s="312"/>
      <c r="R1" s="312"/>
      <c r="S1" s="312"/>
      <c r="T1" s="312"/>
      <c r="U1" s="312"/>
      <c r="V1" s="312"/>
      <c r="W1" s="312"/>
      <c r="X1" s="312"/>
      <c r="AB1" s="6">
        <f>SUM(AB3:AB63)</f>
        <v>1209232894</v>
      </c>
      <c r="AC1" s="110">
        <f>SUM(AB64:AB94)</f>
        <v>555987132</v>
      </c>
    </row>
    <row r="2" spans="1:39" s="11" customFormat="1" ht="104.25" customHeight="1" x14ac:dyDescent="0.3">
      <c r="A2" s="13" t="s">
        <v>0</v>
      </c>
      <c r="B2" s="13" t="s">
        <v>1</v>
      </c>
      <c r="C2" s="13" t="s">
        <v>2</v>
      </c>
      <c r="D2" s="13" t="s">
        <v>3</v>
      </c>
      <c r="E2" s="13" t="s">
        <v>4</v>
      </c>
      <c r="F2" s="13" t="s">
        <v>5</v>
      </c>
      <c r="G2" s="13" t="s">
        <v>6</v>
      </c>
      <c r="H2" s="14" t="s">
        <v>7</v>
      </c>
      <c r="I2" s="14" t="s">
        <v>8</v>
      </c>
      <c r="J2" s="14" t="s">
        <v>9</v>
      </c>
      <c r="K2" s="14" t="s">
        <v>10</v>
      </c>
      <c r="L2" s="14" t="s">
        <v>11</v>
      </c>
      <c r="M2" s="14" t="s">
        <v>12</v>
      </c>
      <c r="N2" s="59" t="s">
        <v>13</v>
      </c>
      <c r="O2" s="12" t="s">
        <v>14</v>
      </c>
      <c r="P2" s="12" t="s">
        <v>15</v>
      </c>
      <c r="Q2" s="12" t="s">
        <v>16</v>
      </c>
      <c r="R2" s="12" t="s">
        <v>17</v>
      </c>
      <c r="S2" s="12" t="s">
        <v>18</v>
      </c>
      <c r="T2" s="12" t="s">
        <v>19</v>
      </c>
      <c r="U2" s="12" t="s">
        <v>20</v>
      </c>
      <c r="V2" s="12" t="s">
        <v>21</v>
      </c>
      <c r="W2" s="12" t="s">
        <v>22</v>
      </c>
      <c r="X2" s="12" t="s">
        <v>23</v>
      </c>
      <c r="Y2" s="12" t="s">
        <v>24</v>
      </c>
      <c r="Z2" s="12" t="s">
        <v>25</v>
      </c>
      <c r="AA2" s="255" t="s">
        <v>26</v>
      </c>
      <c r="AB2" s="60" t="s">
        <v>27</v>
      </c>
      <c r="AC2" s="10" t="s">
        <v>28</v>
      </c>
      <c r="AD2" s="10" t="s">
        <v>29</v>
      </c>
      <c r="AE2" s="10" t="s">
        <v>30</v>
      </c>
      <c r="AF2" s="10" t="s">
        <v>31</v>
      </c>
      <c r="AG2" s="10" t="s">
        <v>32</v>
      </c>
      <c r="AH2" s="10" t="s">
        <v>33</v>
      </c>
      <c r="AI2" s="10" t="s">
        <v>34</v>
      </c>
      <c r="AJ2" s="10" t="s">
        <v>35</v>
      </c>
      <c r="AK2" s="10" t="s">
        <v>36</v>
      </c>
      <c r="AL2" s="251" t="s">
        <v>37</v>
      </c>
      <c r="AM2" s="10" t="s">
        <v>38</v>
      </c>
    </row>
    <row r="3" spans="1:39" ht="117" customHeight="1" x14ac:dyDescent="0.3">
      <c r="A3" s="7" t="s">
        <v>39</v>
      </c>
      <c r="B3" s="62" t="s">
        <v>40</v>
      </c>
      <c r="C3" s="141" t="s">
        <v>41</v>
      </c>
      <c r="D3" s="7" t="s">
        <v>42</v>
      </c>
      <c r="E3" s="7" t="s">
        <v>43</v>
      </c>
      <c r="F3" s="77">
        <v>80111600</v>
      </c>
      <c r="G3" s="7" t="s">
        <v>44</v>
      </c>
      <c r="H3" s="7">
        <v>2</v>
      </c>
      <c r="I3" s="7">
        <v>2</v>
      </c>
      <c r="J3" s="7">
        <v>10</v>
      </c>
      <c r="K3" s="7">
        <v>1</v>
      </c>
      <c r="L3" s="7" t="s">
        <v>45</v>
      </c>
      <c r="M3" s="7" t="s">
        <v>46</v>
      </c>
      <c r="N3" s="156">
        <f>3130298*10</f>
        <v>31302980</v>
      </c>
      <c r="O3" s="7">
        <v>0</v>
      </c>
      <c r="P3" s="7">
        <v>0</v>
      </c>
      <c r="Q3" s="7" t="s">
        <v>47</v>
      </c>
      <c r="R3" s="7" t="s">
        <v>48</v>
      </c>
      <c r="S3" s="91" t="s">
        <v>49</v>
      </c>
      <c r="T3" s="91">
        <v>3846666</v>
      </c>
      <c r="U3" s="68" t="s">
        <v>50</v>
      </c>
      <c r="V3" s="7" t="s">
        <v>51</v>
      </c>
      <c r="W3" s="7" t="s">
        <v>52</v>
      </c>
      <c r="X3" s="7" t="s">
        <v>49</v>
      </c>
      <c r="Y3" s="7"/>
      <c r="Z3" s="7"/>
      <c r="AA3" s="7"/>
      <c r="AB3" s="8">
        <f t="shared" ref="AB3:AB40" si="0">+N3+Y3+Z3-AA3</f>
        <v>31302980</v>
      </c>
      <c r="AC3" s="180">
        <v>5221</v>
      </c>
      <c r="AD3" s="181">
        <v>31302980</v>
      </c>
      <c r="AE3" s="181">
        <f>+AB3-AD3</f>
        <v>0</v>
      </c>
      <c r="AF3" s="275">
        <v>6521</v>
      </c>
      <c r="AG3" s="291">
        <v>44253</v>
      </c>
      <c r="AH3" s="276">
        <v>31302980</v>
      </c>
      <c r="AI3" s="276">
        <f>+AB3-AH3</f>
        <v>0</v>
      </c>
      <c r="AJ3" s="275" t="s">
        <v>53</v>
      </c>
      <c r="AK3" s="275" t="s">
        <v>54</v>
      </c>
      <c r="AL3" s="184">
        <f>3130298+3130298+3130298</f>
        <v>9390894</v>
      </c>
      <c r="AM3" s="7"/>
    </row>
    <row r="4" spans="1:39" ht="121.5" customHeight="1" x14ac:dyDescent="0.3">
      <c r="A4" s="7" t="s">
        <v>39</v>
      </c>
      <c r="B4" s="62" t="s">
        <v>40</v>
      </c>
      <c r="C4" s="141" t="s">
        <v>41</v>
      </c>
      <c r="D4" s="7" t="s">
        <v>42</v>
      </c>
      <c r="E4" s="7" t="s">
        <v>43</v>
      </c>
      <c r="F4" s="77">
        <v>80111600</v>
      </c>
      <c r="G4" s="7" t="s">
        <v>55</v>
      </c>
      <c r="H4" s="7">
        <v>2</v>
      </c>
      <c r="I4" s="7">
        <v>2</v>
      </c>
      <c r="J4" s="7">
        <v>10</v>
      </c>
      <c r="K4" s="7">
        <v>1</v>
      </c>
      <c r="L4" s="7" t="s">
        <v>45</v>
      </c>
      <c r="M4" s="7" t="s">
        <v>46</v>
      </c>
      <c r="N4" s="156">
        <f t="shared" ref="N4:N5" si="1">3130298*10</f>
        <v>31302980</v>
      </c>
      <c r="O4" s="7">
        <v>0</v>
      </c>
      <c r="P4" s="7">
        <v>0</v>
      </c>
      <c r="Q4" s="7" t="s">
        <v>47</v>
      </c>
      <c r="R4" s="7" t="s">
        <v>48</v>
      </c>
      <c r="S4" s="91" t="s">
        <v>49</v>
      </c>
      <c r="T4" s="91">
        <v>3846666</v>
      </c>
      <c r="U4" s="68" t="s">
        <v>50</v>
      </c>
      <c r="V4" s="7" t="s">
        <v>51</v>
      </c>
      <c r="W4" s="7" t="s">
        <v>52</v>
      </c>
      <c r="X4" s="7" t="s">
        <v>49</v>
      </c>
      <c r="Y4" s="7"/>
      <c r="Z4" s="7"/>
      <c r="AA4" s="7"/>
      <c r="AB4" s="8">
        <f t="shared" si="0"/>
        <v>31302980</v>
      </c>
      <c r="AC4" s="180">
        <v>5321</v>
      </c>
      <c r="AD4" s="181">
        <v>31302980</v>
      </c>
      <c r="AE4" s="181">
        <f t="shared" ref="AE4:AE70" si="2">+AB4-AD4</f>
        <v>0</v>
      </c>
      <c r="AF4" s="275">
        <v>6621</v>
      </c>
      <c r="AG4" s="291">
        <v>44253</v>
      </c>
      <c r="AH4" s="276">
        <v>31302980</v>
      </c>
      <c r="AI4" s="276">
        <f t="shared" ref="AI4:AI70" si="3">+AB4-AH4</f>
        <v>0</v>
      </c>
      <c r="AJ4" s="275" t="s">
        <v>56</v>
      </c>
      <c r="AK4" s="275" t="s">
        <v>57</v>
      </c>
      <c r="AL4" s="184">
        <f>3130298+3130298+3130298</f>
        <v>9390894</v>
      </c>
      <c r="AM4" s="7"/>
    </row>
    <row r="5" spans="1:39" ht="113.25" customHeight="1" x14ac:dyDescent="0.3">
      <c r="A5" s="7" t="s">
        <v>39</v>
      </c>
      <c r="B5" s="62" t="s">
        <v>40</v>
      </c>
      <c r="C5" s="141" t="s">
        <v>41</v>
      </c>
      <c r="D5" s="7" t="s">
        <v>42</v>
      </c>
      <c r="E5" s="7" t="s">
        <v>43</v>
      </c>
      <c r="F5" s="77">
        <v>80111600</v>
      </c>
      <c r="G5" s="7" t="s">
        <v>58</v>
      </c>
      <c r="H5" s="7" t="s">
        <v>59</v>
      </c>
      <c r="I5" s="7" t="s">
        <v>60</v>
      </c>
      <c r="J5" s="7" t="s">
        <v>61</v>
      </c>
      <c r="K5" s="7">
        <v>0</v>
      </c>
      <c r="L5" s="7" t="s">
        <v>45</v>
      </c>
      <c r="M5" s="7" t="s">
        <v>46</v>
      </c>
      <c r="N5" s="156">
        <f t="shared" si="1"/>
        <v>31302980</v>
      </c>
      <c r="O5" s="7">
        <v>0</v>
      </c>
      <c r="P5" s="7">
        <v>0</v>
      </c>
      <c r="Q5" s="7" t="s">
        <v>47</v>
      </c>
      <c r="R5" s="7" t="s">
        <v>48</v>
      </c>
      <c r="S5" s="91" t="s">
        <v>49</v>
      </c>
      <c r="T5" s="91">
        <v>3846666</v>
      </c>
      <c r="U5" s="68" t="s">
        <v>50</v>
      </c>
      <c r="V5" s="7" t="s">
        <v>51</v>
      </c>
      <c r="W5" s="7" t="s">
        <v>52</v>
      </c>
      <c r="X5" s="7" t="s">
        <v>49</v>
      </c>
      <c r="Y5" s="7"/>
      <c r="Z5" s="7"/>
      <c r="AA5" s="259">
        <v>14201490</v>
      </c>
      <c r="AB5" s="8">
        <f t="shared" si="0"/>
        <v>17101490</v>
      </c>
      <c r="AC5" s="248"/>
      <c r="AD5" s="249"/>
      <c r="AE5" s="249">
        <f t="shared" si="2"/>
        <v>17101490</v>
      </c>
      <c r="AF5" s="248"/>
      <c r="AG5" s="248"/>
      <c r="AH5" s="249"/>
      <c r="AI5" s="179">
        <f t="shared" si="3"/>
        <v>17101490</v>
      </c>
      <c r="AJ5" s="248"/>
      <c r="AK5" s="248"/>
      <c r="AL5" s="249"/>
      <c r="AM5" s="7" t="s">
        <v>62</v>
      </c>
    </row>
    <row r="6" spans="1:39" ht="113.25" customHeight="1" x14ac:dyDescent="0.3">
      <c r="A6" s="7" t="s">
        <v>39</v>
      </c>
      <c r="B6" s="62" t="s">
        <v>40</v>
      </c>
      <c r="C6" s="141" t="s">
        <v>41</v>
      </c>
      <c r="D6" s="7" t="s">
        <v>42</v>
      </c>
      <c r="E6" s="7" t="s">
        <v>43</v>
      </c>
      <c r="F6" s="77">
        <v>80111600</v>
      </c>
      <c r="G6" s="91" t="s">
        <v>63</v>
      </c>
      <c r="H6" s="91">
        <v>6</v>
      </c>
      <c r="I6" s="91">
        <v>7</v>
      </c>
      <c r="J6" s="91" t="s">
        <v>64</v>
      </c>
      <c r="K6" s="91">
        <v>0</v>
      </c>
      <c r="L6" s="7" t="s">
        <v>45</v>
      </c>
      <c r="M6" s="7" t="s">
        <v>46</v>
      </c>
      <c r="N6" s="156">
        <v>0</v>
      </c>
      <c r="O6" s="7">
        <v>0</v>
      </c>
      <c r="P6" s="7">
        <v>0</v>
      </c>
      <c r="Q6" s="7" t="s">
        <v>47</v>
      </c>
      <c r="R6" s="7" t="s">
        <v>48</v>
      </c>
      <c r="S6" s="91" t="s">
        <v>49</v>
      </c>
      <c r="T6" s="91">
        <v>3846666</v>
      </c>
      <c r="U6" s="68" t="s">
        <v>50</v>
      </c>
      <c r="V6" s="7" t="s">
        <v>51</v>
      </c>
      <c r="W6" s="7" t="s">
        <v>52</v>
      </c>
      <c r="X6" s="7" t="s">
        <v>49</v>
      </c>
      <c r="Y6" s="259">
        <f>14201490+2900000</f>
        <v>17101490</v>
      </c>
      <c r="Z6" s="7"/>
      <c r="AA6" s="7"/>
      <c r="AB6" s="8">
        <f t="shared" si="0"/>
        <v>17101490</v>
      </c>
      <c r="AC6" s="180">
        <v>12521</v>
      </c>
      <c r="AD6" s="181">
        <v>17101490</v>
      </c>
      <c r="AE6" s="181">
        <f t="shared" ref="AE6" si="4">+AB6-AD6</f>
        <v>0</v>
      </c>
      <c r="AF6" s="248"/>
      <c r="AG6" s="248"/>
      <c r="AH6" s="249"/>
      <c r="AI6" s="179">
        <f t="shared" ref="AI6" si="5">+AB6-AH6</f>
        <v>17101490</v>
      </c>
      <c r="AJ6" s="248"/>
      <c r="AK6" s="248"/>
      <c r="AL6" s="249"/>
      <c r="AM6" s="7" t="s">
        <v>62</v>
      </c>
    </row>
    <row r="7" spans="1:39" ht="136.19999999999999" customHeight="1" x14ac:dyDescent="0.3">
      <c r="A7" s="7" t="s">
        <v>39</v>
      </c>
      <c r="B7" s="62" t="s">
        <v>40</v>
      </c>
      <c r="C7" s="141" t="s">
        <v>41</v>
      </c>
      <c r="D7" s="7" t="s">
        <v>42</v>
      </c>
      <c r="E7" s="7" t="s">
        <v>43</v>
      </c>
      <c r="F7" s="7" t="s">
        <v>65</v>
      </c>
      <c r="G7" s="7" t="s">
        <v>66</v>
      </c>
      <c r="H7" s="7" t="s">
        <v>65</v>
      </c>
      <c r="I7" s="7" t="s">
        <v>65</v>
      </c>
      <c r="J7" s="7" t="s">
        <v>65</v>
      </c>
      <c r="K7" s="7" t="s">
        <v>65</v>
      </c>
      <c r="L7" s="7" t="s">
        <v>67</v>
      </c>
      <c r="M7" s="7" t="s">
        <v>46</v>
      </c>
      <c r="N7" s="156">
        <v>7455212</v>
      </c>
      <c r="O7" s="7">
        <v>0</v>
      </c>
      <c r="P7" s="7">
        <v>0</v>
      </c>
      <c r="Q7" s="7" t="s">
        <v>47</v>
      </c>
      <c r="R7" s="7" t="s">
        <v>48</v>
      </c>
      <c r="S7" s="91" t="s">
        <v>49</v>
      </c>
      <c r="T7" s="91">
        <v>3846666</v>
      </c>
      <c r="U7" s="68" t="s">
        <v>50</v>
      </c>
      <c r="V7" s="7" t="s">
        <v>51</v>
      </c>
      <c r="W7" s="7" t="s">
        <v>68</v>
      </c>
      <c r="X7" s="7" t="s">
        <v>65</v>
      </c>
      <c r="Y7" s="7"/>
      <c r="Z7" s="7"/>
      <c r="AA7" s="7"/>
      <c r="AB7" s="8">
        <f t="shared" si="0"/>
        <v>7455212</v>
      </c>
      <c r="AC7" s="248"/>
      <c r="AD7" s="249"/>
      <c r="AE7" s="249">
        <f t="shared" si="2"/>
        <v>7455212</v>
      </c>
      <c r="AF7" s="248"/>
      <c r="AG7" s="248"/>
      <c r="AH7" s="249"/>
      <c r="AI7" s="179">
        <f t="shared" si="3"/>
        <v>7455212</v>
      </c>
      <c r="AJ7" s="248"/>
      <c r="AK7" s="248"/>
      <c r="AL7" s="249"/>
      <c r="AM7" s="7"/>
    </row>
    <row r="8" spans="1:39" ht="112.2" customHeight="1" x14ac:dyDescent="0.3">
      <c r="A8" s="7" t="s">
        <v>39</v>
      </c>
      <c r="B8" s="62" t="s">
        <v>40</v>
      </c>
      <c r="C8" s="141" t="s">
        <v>41</v>
      </c>
      <c r="D8" s="7" t="s">
        <v>42</v>
      </c>
      <c r="E8" s="7" t="s">
        <v>43</v>
      </c>
      <c r="F8" s="7" t="s">
        <v>65</v>
      </c>
      <c r="G8" s="7" t="s">
        <v>69</v>
      </c>
      <c r="H8" s="7" t="s">
        <v>65</v>
      </c>
      <c r="I8" s="7" t="s">
        <v>65</v>
      </c>
      <c r="J8" s="7" t="s">
        <v>65</v>
      </c>
      <c r="K8" s="7" t="s">
        <v>65</v>
      </c>
      <c r="L8" s="7" t="s">
        <v>67</v>
      </c>
      <c r="M8" s="7" t="s">
        <v>46</v>
      </c>
      <c r="N8" s="156">
        <v>1450000</v>
      </c>
      <c r="O8" s="7">
        <v>0</v>
      </c>
      <c r="P8" s="7">
        <v>0</v>
      </c>
      <c r="Q8" s="7" t="s">
        <v>47</v>
      </c>
      <c r="R8" s="7" t="s">
        <v>48</v>
      </c>
      <c r="S8" s="91" t="s">
        <v>49</v>
      </c>
      <c r="T8" s="91">
        <v>3846666</v>
      </c>
      <c r="U8" s="68" t="s">
        <v>50</v>
      </c>
      <c r="V8" s="7" t="s">
        <v>51</v>
      </c>
      <c r="W8" s="7" t="s">
        <v>70</v>
      </c>
      <c r="X8" s="7" t="s">
        <v>65</v>
      </c>
      <c r="Y8" s="7"/>
      <c r="Z8" s="7"/>
      <c r="AA8" s="7"/>
      <c r="AB8" s="8">
        <f t="shared" si="0"/>
        <v>1450000</v>
      </c>
      <c r="AC8" s="248"/>
      <c r="AD8" s="249"/>
      <c r="AE8" s="249">
        <f t="shared" si="2"/>
        <v>1450000</v>
      </c>
      <c r="AF8" s="248"/>
      <c r="AG8" s="248"/>
      <c r="AH8" s="249"/>
      <c r="AI8" s="179">
        <f t="shared" si="3"/>
        <v>1450000</v>
      </c>
      <c r="AJ8" s="248"/>
      <c r="AK8" s="248"/>
      <c r="AL8" s="249"/>
      <c r="AM8" s="7"/>
    </row>
    <row r="9" spans="1:39" ht="113.25" customHeight="1" x14ac:dyDescent="0.3">
      <c r="A9" s="7" t="s">
        <v>39</v>
      </c>
      <c r="B9" s="62" t="s">
        <v>40</v>
      </c>
      <c r="C9" s="141" t="s">
        <v>41</v>
      </c>
      <c r="D9" s="7" t="s">
        <v>71</v>
      </c>
      <c r="E9" s="7" t="s">
        <v>43</v>
      </c>
      <c r="F9" s="7">
        <v>80111600</v>
      </c>
      <c r="G9" s="7" t="s">
        <v>72</v>
      </c>
      <c r="H9" s="7">
        <v>1</v>
      </c>
      <c r="I9" s="7">
        <v>1</v>
      </c>
      <c r="J9" s="7">
        <v>11</v>
      </c>
      <c r="K9" s="7">
        <v>1</v>
      </c>
      <c r="L9" s="7" t="s">
        <v>45</v>
      </c>
      <c r="M9" s="7" t="s">
        <v>46</v>
      </c>
      <c r="N9" s="156">
        <f>2900000*11</f>
        <v>31900000</v>
      </c>
      <c r="O9" s="7">
        <v>0</v>
      </c>
      <c r="P9" s="7">
        <v>0</v>
      </c>
      <c r="Q9" s="7" t="s">
        <v>47</v>
      </c>
      <c r="R9" s="7" t="s">
        <v>48</v>
      </c>
      <c r="S9" s="91" t="s">
        <v>49</v>
      </c>
      <c r="T9" s="91">
        <v>3846666</v>
      </c>
      <c r="U9" s="68" t="s">
        <v>50</v>
      </c>
      <c r="V9" s="7" t="s">
        <v>51</v>
      </c>
      <c r="W9" s="7" t="s">
        <v>73</v>
      </c>
      <c r="X9" s="7" t="s">
        <v>74</v>
      </c>
      <c r="Y9" s="7"/>
      <c r="Z9" s="7"/>
      <c r="AA9" s="259">
        <v>2900000</v>
      </c>
      <c r="AB9" s="8">
        <f t="shared" si="0"/>
        <v>29000000</v>
      </c>
      <c r="AC9" s="180">
        <v>5621</v>
      </c>
      <c r="AD9" s="181">
        <v>29000000</v>
      </c>
      <c r="AE9" s="181">
        <f t="shared" si="2"/>
        <v>0</v>
      </c>
      <c r="AF9" s="275">
        <v>6921</v>
      </c>
      <c r="AG9" s="291">
        <v>44256</v>
      </c>
      <c r="AH9" s="276">
        <v>29000000</v>
      </c>
      <c r="AI9" s="276">
        <f t="shared" si="3"/>
        <v>0</v>
      </c>
      <c r="AJ9" s="275" t="s">
        <v>75</v>
      </c>
      <c r="AK9" s="275" t="s">
        <v>76</v>
      </c>
      <c r="AL9" s="184">
        <f>2900000+2900000+2900000</f>
        <v>8700000</v>
      </c>
      <c r="AM9" s="7" t="s">
        <v>62</v>
      </c>
    </row>
    <row r="10" spans="1:39" ht="113.25" customHeight="1" x14ac:dyDescent="0.3">
      <c r="A10" s="7" t="s">
        <v>39</v>
      </c>
      <c r="B10" s="62" t="s">
        <v>40</v>
      </c>
      <c r="C10" s="141" t="s">
        <v>41</v>
      </c>
      <c r="D10" s="7" t="s">
        <v>71</v>
      </c>
      <c r="E10" s="7" t="s">
        <v>43</v>
      </c>
      <c r="F10" s="7">
        <v>80111600</v>
      </c>
      <c r="G10" s="7" t="s">
        <v>77</v>
      </c>
      <c r="H10" s="7">
        <v>1</v>
      </c>
      <c r="I10" s="7">
        <v>1</v>
      </c>
      <c r="J10" s="7">
        <v>11</v>
      </c>
      <c r="K10" s="7">
        <v>1</v>
      </c>
      <c r="L10" s="7" t="s">
        <v>45</v>
      </c>
      <c r="M10" s="7" t="s">
        <v>46</v>
      </c>
      <c r="N10" s="156">
        <f>2900000*11</f>
        <v>31900000</v>
      </c>
      <c r="O10" s="7">
        <v>0</v>
      </c>
      <c r="P10" s="7">
        <v>0</v>
      </c>
      <c r="Q10" s="7" t="s">
        <v>47</v>
      </c>
      <c r="R10" s="7" t="s">
        <v>48</v>
      </c>
      <c r="S10" s="91" t="s">
        <v>49</v>
      </c>
      <c r="T10" s="91">
        <v>3846666</v>
      </c>
      <c r="U10" s="68" t="s">
        <v>50</v>
      </c>
      <c r="V10" s="7" t="s">
        <v>51</v>
      </c>
      <c r="W10" s="7" t="s">
        <v>73</v>
      </c>
      <c r="X10" s="7" t="s">
        <v>74</v>
      </c>
      <c r="Y10" s="7"/>
      <c r="Z10" s="7"/>
      <c r="AA10" s="7"/>
      <c r="AB10" s="8">
        <f t="shared" si="0"/>
        <v>31900000</v>
      </c>
      <c r="AC10" s="180">
        <v>1721</v>
      </c>
      <c r="AD10" s="181">
        <v>31900000</v>
      </c>
      <c r="AE10" s="181">
        <f t="shared" si="2"/>
        <v>0</v>
      </c>
      <c r="AF10" s="275">
        <v>3921</v>
      </c>
      <c r="AG10" s="291">
        <v>44225</v>
      </c>
      <c r="AH10" s="276">
        <v>31900000</v>
      </c>
      <c r="AI10" s="276">
        <f t="shared" si="3"/>
        <v>0</v>
      </c>
      <c r="AJ10" s="275" t="s">
        <v>78</v>
      </c>
      <c r="AK10" s="275" t="s">
        <v>79</v>
      </c>
      <c r="AL10" s="184">
        <f>2900000+2900000+2900000+2900000</f>
        <v>11600000</v>
      </c>
      <c r="AM10" s="7"/>
    </row>
    <row r="11" spans="1:39" ht="113.25" customHeight="1" x14ac:dyDescent="0.3">
      <c r="A11" s="7" t="s">
        <v>39</v>
      </c>
      <c r="B11" s="62" t="s">
        <v>40</v>
      </c>
      <c r="C11" s="141" t="s">
        <v>41</v>
      </c>
      <c r="D11" s="7" t="s">
        <v>80</v>
      </c>
      <c r="E11" s="7" t="s">
        <v>43</v>
      </c>
      <c r="F11" s="7">
        <v>80111600</v>
      </c>
      <c r="G11" s="7" t="s">
        <v>81</v>
      </c>
      <c r="H11" s="7">
        <v>1</v>
      </c>
      <c r="I11" s="7">
        <v>1</v>
      </c>
      <c r="J11" s="7">
        <v>11</v>
      </c>
      <c r="K11" s="7">
        <v>1</v>
      </c>
      <c r="L11" s="7" t="s">
        <v>45</v>
      </c>
      <c r="M11" s="7" t="s">
        <v>46</v>
      </c>
      <c r="N11" s="156">
        <f>3130298*11</f>
        <v>34433278</v>
      </c>
      <c r="O11" s="7">
        <v>0</v>
      </c>
      <c r="P11" s="7">
        <v>0</v>
      </c>
      <c r="Q11" s="7" t="s">
        <v>47</v>
      </c>
      <c r="R11" s="7" t="s">
        <v>48</v>
      </c>
      <c r="S11" s="91" t="s">
        <v>49</v>
      </c>
      <c r="T11" s="91">
        <v>3846666</v>
      </c>
      <c r="U11" s="68" t="s">
        <v>50</v>
      </c>
      <c r="V11" s="7" t="s">
        <v>51</v>
      </c>
      <c r="W11" s="7" t="s">
        <v>52</v>
      </c>
      <c r="X11" s="7" t="s">
        <v>82</v>
      </c>
      <c r="Y11" s="7"/>
      <c r="Z11" s="7"/>
      <c r="AA11" s="7"/>
      <c r="AB11" s="8">
        <f t="shared" si="0"/>
        <v>34433278</v>
      </c>
      <c r="AC11" s="180">
        <v>3021</v>
      </c>
      <c r="AD11" s="181">
        <v>34433278</v>
      </c>
      <c r="AE11" s="181">
        <f t="shared" si="2"/>
        <v>0</v>
      </c>
      <c r="AF11" s="275">
        <v>3821</v>
      </c>
      <c r="AG11" s="291">
        <v>44225</v>
      </c>
      <c r="AH11" s="276">
        <v>34433278</v>
      </c>
      <c r="AI11" s="276">
        <f t="shared" si="3"/>
        <v>0</v>
      </c>
      <c r="AJ11" s="275" t="s">
        <v>83</v>
      </c>
      <c r="AK11" s="275" t="s">
        <v>84</v>
      </c>
      <c r="AL11" s="184">
        <f>3130298+3130298+3130298+3130298</f>
        <v>12521192</v>
      </c>
      <c r="AM11" s="7"/>
    </row>
    <row r="12" spans="1:39" ht="113.25" customHeight="1" x14ac:dyDescent="0.3">
      <c r="A12" s="7" t="s">
        <v>39</v>
      </c>
      <c r="B12" s="62" t="s">
        <v>40</v>
      </c>
      <c r="C12" s="141" t="s">
        <v>41</v>
      </c>
      <c r="D12" s="7" t="s">
        <v>80</v>
      </c>
      <c r="E12" s="7" t="s">
        <v>43</v>
      </c>
      <c r="F12" s="7">
        <v>80101509</v>
      </c>
      <c r="G12" s="91" t="s">
        <v>85</v>
      </c>
      <c r="H12" s="77">
        <v>5</v>
      </c>
      <c r="I12" s="77">
        <v>6</v>
      </c>
      <c r="J12" s="77">
        <v>6</v>
      </c>
      <c r="K12" s="7">
        <v>1</v>
      </c>
      <c r="L12" s="7" t="s">
        <v>45</v>
      </c>
      <c r="M12" s="91" t="s">
        <v>46</v>
      </c>
      <c r="N12" s="156">
        <v>25000000</v>
      </c>
      <c r="O12" s="7">
        <v>0</v>
      </c>
      <c r="P12" s="7">
        <v>0</v>
      </c>
      <c r="Q12" s="7" t="s">
        <v>47</v>
      </c>
      <c r="R12" s="7" t="s">
        <v>48</v>
      </c>
      <c r="S12" s="91" t="s">
        <v>49</v>
      </c>
      <c r="T12" s="91">
        <v>3846666</v>
      </c>
      <c r="U12" s="68" t="s">
        <v>50</v>
      </c>
      <c r="V12" s="7" t="s">
        <v>51</v>
      </c>
      <c r="W12" s="7" t="s">
        <v>86</v>
      </c>
      <c r="X12" s="7" t="s">
        <v>82</v>
      </c>
      <c r="Y12" s="7"/>
      <c r="Z12" s="7"/>
      <c r="AA12" s="7"/>
      <c r="AB12" s="262">
        <f t="shared" si="0"/>
        <v>25000000</v>
      </c>
      <c r="AC12" s="180">
        <v>12621</v>
      </c>
      <c r="AD12" s="181">
        <v>25000000</v>
      </c>
      <c r="AE12" s="181">
        <f t="shared" si="2"/>
        <v>0</v>
      </c>
      <c r="AF12" s="248"/>
      <c r="AG12" s="248"/>
      <c r="AH12" s="249"/>
      <c r="AI12" s="179">
        <f t="shared" si="3"/>
        <v>25000000</v>
      </c>
      <c r="AJ12" s="248"/>
      <c r="AK12" s="248"/>
      <c r="AL12" s="249"/>
      <c r="AM12" s="7"/>
    </row>
    <row r="13" spans="1:39" ht="113.25" customHeight="1" x14ac:dyDescent="0.3">
      <c r="A13" s="7" t="s">
        <v>39</v>
      </c>
      <c r="B13" s="62" t="s">
        <v>40</v>
      </c>
      <c r="C13" s="141" t="s">
        <v>41</v>
      </c>
      <c r="D13" s="7" t="s">
        <v>80</v>
      </c>
      <c r="E13" s="7" t="s">
        <v>43</v>
      </c>
      <c r="F13" s="7" t="s">
        <v>65</v>
      </c>
      <c r="G13" s="7" t="s">
        <v>66</v>
      </c>
      <c r="H13" s="7" t="s">
        <v>65</v>
      </c>
      <c r="I13" s="7" t="s">
        <v>65</v>
      </c>
      <c r="J13" s="7" t="s">
        <v>65</v>
      </c>
      <c r="K13" s="7" t="s">
        <v>65</v>
      </c>
      <c r="L13" s="7" t="s">
        <v>67</v>
      </c>
      <c r="M13" s="7" t="s">
        <v>46</v>
      </c>
      <c r="N13" s="156">
        <v>4211333</v>
      </c>
      <c r="O13" s="7">
        <v>0</v>
      </c>
      <c r="P13" s="7">
        <v>0</v>
      </c>
      <c r="Q13" s="7" t="s">
        <v>47</v>
      </c>
      <c r="R13" s="7" t="s">
        <v>48</v>
      </c>
      <c r="S13" s="91" t="s">
        <v>49</v>
      </c>
      <c r="T13" s="91">
        <v>3846666</v>
      </c>
      <c r="U13" s="68" t="s">
        <v>50</v>
      </c>
      <c r="V13" s="7" t="s">
        <v>51</v>
      </c>
      <c r="W13" s="7" t="s">
        <v>68</v>
      </c>
      <c r="X13" s="7" t="s">
        <v>65</v>
      </c>
      <c r="Y13" s="7"/>
      <c r="Z13" s="7"/>
      <c r="AA13" s="7"/>
      <c r="AB13" s="8">
        <f t="shared" si="0"/>
        <v>4211333</v>
      </c>
      <c r="AC13" s="248"/>
      <c r="AD13" s="249"/>
      <c r="AE13" s="249">
        <f t="shared" si="2"/>
        <v>4211333</v>
      </c>
      <c r="AF13" s="248"/>
      <c r="AG13" s="248"/>
      <c r="AH13" s="249"/>
      <c r="AI13" s="179">
        <f t="shared" si="3"/>
        <v>4211333</v>
      </c>
      <c r="AJ13" s="248"/>
      <c r="AK13" s="248"/>
      <c r="AL13" s="249"/>
      <c r="AM13" s="7"/>
    </row>
    <row r="14" spans="1:39" ht="113.25" customHeight="1" x14ac:dyDescent="0.3">
      <c r="A14" s="7" t="s">
        <v>39</v>
      </c>
      <c r="B14" s="62" t="s">
        <v>40</v>
      </c>
      <c r="C14" s="141" t="s">
        <v>41</v>
      </c>
      <c r="D14" s="7" t="s">
        <v>80</v>
      </c>
      <c r="E14" s="7" t="s">
        <v>43</v>
      </c>
      <c r="F14" s="7" t="s">
        <v>65</v>
      </c>
      <c r="G14" s="7" t="s">
        <v>69</v>
      </c>
      <c r="H14" s="7" t="s">
        <v>65</v>
      </c>
      <c r="I14" s="7" t="s">
        <v>65</v>
      </c>
      <c r="J14" s="7" t="s">
        <v>65</v>
      </c>
      <c r="K14" s="7" t="s">
        <v>65</v>
      </c>
      <c r="L14" s="7" t="s">
        <v>67</v>
      </c>
      <c r="M14" s="7" t="s">
        <v>46</v>
      </c>
      <c r="N14" s="156">
        <v>370000</v>
      </c>
      <c r="O14" s="7">
        <v>0</v>
      </c>
      <c r="P14" s="7">
        <v>0</v>
      </c>
      <c r="Q14" s="7" t="s">
        <v>47</v>
      </c>
      <c r="R14" s="7" t="s">
        <v>48</v>
      </c>
      <c r="S14" s="91" t="s">
        <v>49</v>
      </c>
      <c r="T14" s="91">
        <v>3846666</v>
      </c>
      <c r="U14" s="68" t="s">
        <v>50</v>
      </c>
      <c r="V14" s="7" t="s">
        <v>51</v>
      </c>
      <c r="W14" s="7" t="s">
        <v>70</v>
      </c>
      <c r="X14" s="7" t="s">
        <v>65</v>
      </c>
      <c r="Y14" s="7"/>
      <c r="Z14" s="7"/>
      <c r="AA14" s="7"/>
      <c r="AB14" s="8">
        <f t="shared" si="0"/>
        <v>370000</v>
      </c>
      <c r="AC14" s="248"/>
      <c r="AD14" s="249"/>
      <c r="AE14" s="249">
        <f t="shared" si="2"/>
        <v>370000</v>
      </c>
      <c r="AF14" s="248"/>
      <c r="AG14" s="248"/>
      <c r="AH14" s="249"/>
      <c r="AI14" s="179">
        <f t="shared" si="3"/>
        <v>370000</v>
      </c>
      <c r="AJ14" s="248"/>
      <c r="AK14" s="248"/>
      <c r="AL14" s="249"/>
      <c r="AM14" s="7"/>
    </row>
    <row r="15" spans="1:39" ht="113.25" customHeight="1" x14ac:dyDescent="0.3">
      <c r="A15" s="7" t="s">
        <v>39</v>
      </c>
      <c r="B15" s="62" t="s">
        <v>40</v>
      </c>
      <c r="C15" s="141" t="s">
        <v>41</v>
      </c>
      <c r="D15" s="7" t="s">
        <v>87</v>
      </c>
      <c r="E15" s="7" t="s">
        <v>88</v>
      </c>
      <c r="F15" s="7">
        <v>80111600</v>
      </c>
      <c r="G15" s="7" t="s">
        <v>89</v>
      </c>
      <c r="H15" s="7">
        <v>1</v>
      </c>
      <c r="I15" s="7">
        <v>1</v>
      </c>
      <c r="J15" s="7">
        <v>11</v>
      </c>
      <c r="K15" s="7">
        <v>1</v>
      </c>
      <c r="L15" s="7" t="s">
        <v>45</v>
      </c>
      <c r="M15" s="7" t="s">
        <v>46</v>
      </c>
      <c r="N15" s="156">
        <f>3130298*11+5166722</f>
        <v>39600000</v>
      </c>
      <c r="O15" s="7">
        <v>0</v>
      </c>
      <c r="P15" s="7">
        <v>0</v>
      </c>
      <c r="Q15" s="7" t="s">
        <v>47</v>
      </c>
      <c r="R15" s="7" t="s">
        <v>48</v>
      </c>
      <c r="S15" s="91" t="s">
        <v>49</v>
      </c>
      <c r="T15" s="91">
        <v>3846666</v>
      </c>
      <c r="U15" s="68" t="s">
        <v>50</v>
      </c>
      <c r="V15" s="7" t="s">
        <v>51</v>
      </c>
      <c r="W15" s="7" t="s">
        <v>52</v>
      </c>
      <c r="X15" s="7" t="s">
        <v>90</v>
      </c>
      <c r="Y15" s="7"/>
      <c r="Z15" s="7"/>
      <c r="AA15" s="7"/>
      <c r="AB15" s="8">
        <f t="shared" si="0"/>
        <v>39600000</v>
      </c>
      <c r="AC15" s="189">
        <v>3321</v>
      </c>
      <c r="AD15" s="190">
        <v>39600000</v>
      </c>
      <c r="AE15" s="190">
        <f t="shared" si="2"/>
        <v>0</v>
      </c>
      <c r="AF15" s="275">
        <v>3421</v>
      </c>
      <c r="AG15" s="291">
        <v>44225</v>
      </c>
      <c r="AH15" s="276">
        <v>39600000</v>
      </c>
      <c r="AI15" s="276">
        <f t="shared" si="3"/>
        <v>0</v>
      </c>
      <c r="AJ15" s="275" t="s">
        <v>91</v>
      </c>
      <c r="AK15" s="275" t="s">
        <v>92</v>
      </c>
      <c r="AL15" s="184">
        <f>3600000+3600000+3600000+3600000</f>
        <v>14400000</v>
      </c>
      <c r="AM15" s="7"/>
    </row>
    <row r="16" spans="1:39" ht="113.25" customHeight="1" x14ac:dyDescent="0.3">
      <c r="A16" s="7" t="s">
        <v>39</v>
      </c>
      <c r="B16" s="62" t="s">
        <v>40</v>
      </c>
      <c r="C16" s="141" t="s">
        <v>41</v>
      </c>
      <c r="D16" s="7" t="s">
        <v>87</v>
      </c>
      <c r="E16" s="7" t="s">
        <v>88</v>
      </c>
      <c r="F16" s="7">
        <v>80111600</v>
      </c>
      <c r="G16" s="91" t="s">
        <v>93</v>
      </c>
      <c r="H16" s="7">
        <v>1</v>
      </c>
      <c r="I16" s="7">
        <v>1</v>
      </c>
      <c r="J16" s="7">
        <v>11</v>
      </c>
      <c r="K16" s="7">
        <v>1</v>
      </c>
      <c r="L16" s="7" t="s">
        <v>45</v>
      </c>
      <c r="M16" s="7" t="s">
        <v>46</v>
      </c>
      <c r="N16" s="156">
        <f>3219000*11</f>
        <v>35409000</v>
      </c>
      <c r="O16" s="7">
        <v>0</v>
      </c>
      <c r="P16" s="7">
        <v>0</v>
      </c>
      <c r="Q16" s="7" t="s">
        <v>47</v>
      </c>
      <c r="R16" s="7" t="s">
        <v>48</v>
      </c>
      <c r="S16" s="91" t="s">
        <v>49</v>
      </c>
      <c r="T16" s="91">
        <v>3846666</v>
      </c>
      <c r="U16" s="68" t="s">
        <v>50</v>
      </c>
      <c r="V16" s="7" t="s">
        <v>51</v>
      </c>
      <c r="W16" s="7" t="s">
        <v>52</v>
      </c>
      <c r="X16" s="7" t="s">
        <v>90</v>
      </c>
      <c r="Y16" s="7"/>
      <c r="Z16" s="7"/>
      <c r="AA16" s="7"/>
      <c r="AB16" s="8">
        <f t="shared" si="0"/>
        <v>35409000</v>
      </c>
      <c r="AC16" s="180">
        <v>2921</v>
      </c>
      <c r="AD16" s="181">
        <v>35409000</v>
      </c>
      <c r="AE16" s="181">
        <f t="shared" si="2"/>
        <v>0</v>
      </c>
      <c r="AF16" s="275">
        <v>3521</v>
      </c>
      <c r="AG16" s="291">
        <v>44225</v>
      </c>
      <c r="AH16" s="276">
        <v>35409000</v>
      </c>
      <c r="AI16" s="276">
        <f t="shared" si="3"/>
        <v>0</v>
      </c>
      <c r="AJ16" s="275" t="s">
        <v>94</v>
      </c>
      <c r="AK16" s="275" t="s">
        <v>95</v>
      </c>
      <c r="AL16" s="184">
        <f>3748997+3748997+3748997+3748997</f>
        <v>14995988</v>
      </c>
      <c r="AM16" s="7"/>
    </row>
    <row r="17" spans="1:39" ht="113.25" customHeight="1" x14ac:dyDescent="0.3">
      <c r="A17" s="7" t="s">
        <v>39</v>
      </c>
      <c r="B17" s="62" t="s">
        <v>40</v>
      </c>
      <c r="C17" s="141" t="s">
        <v>41</v>
      </c>
      <c r="D17" s="7" t="s">
        <v>87</v>
      </c>
      <c r="E17" s="7" t="s">
        <v>88</v>
      </c>
      <c r="F17" s="7">
        <v>80111600</v>
      </c>
      <c r="G17" s="91" t="s">
        <v>96</v>
      </c>
      <c r="H17" s="7">
        <v>1</v>
      </c>
      <c r="I17" s="7">
        <v>1</v>
      </c>
      <c r="J17" s="7">
        <v>11</v>
      </c>
      <c r="K17" s="7">
        <v>1</v>
      </c>
      <c r="L17" s="7" t="s">
        <v>45</v>
      </c>
      <c r="M17" s="7" t="s">
        <v>46</v>
      </c>
      <c r="N17" s="156">
        <f>3130298*11</f>
        <v>34433278</v>
      </c>
      <c r="O17" s="7">
        <v>0</v>
      </c>
      <c r="P17" s="7">
        <v>0</v>
      </c>
      <c r="Q17" s="7" t="s">
        <v>47</v>
      </c>
      <c r="R17" s="7" t="s">
        <v>48</v>
      </c>
      <c r="S17" s="91" t="s">
        <v>49</v>
      </c>
      <c r="T17" s="91">
        <v>3846666</v>
      </c>
      <c r="U17" s="68" t="s">
        <v>50</v>
      </c>
      <c r="V17" s="7" t="s">
        <v>51</v>
      </c>
      <c r="W17" s="7" t="s">
        <v>52</v>
      </c>
      <c r="X17" s="7" t="s">
        <v>90</v>
      </c>
      <c r="Y17" s="7"/>
      <c r="Z17" s="7"/>
      <c r="AA17" s="7"/>
      <c r="AB17" s="8">
        <f t="shared" si="0"/>
        <v>34433278</v>
      </c>
      <c r="AC17" s="180">
        <v>3221</v>
      </c>
      <c r="AD17" s="181">
        <v>34433278</v>
      </c>
      <c r="AE17" s="181">
        <f t="shared" si="2"/>
        <v>0</v>
      </c>
      <c r="AF17" s="275">
        <v>3321</v>
      </c>
      <c r="AG17" s="291">
        <v>44225</v>
      </c>
      <c r="AH17" s="276">
        <v>34433278</v>
      </c>
      <c r="AI17" s="276">
        <f t="shared" si="3"/>
        <v>0</v>
      </c>
      <c r="AJ17" s="275" t="s">
        <v>97</v>
      </c>
      <c r="AK17" s="275" t="s">
        <v>98</v>
      </c>
      <c r="AL17" s="184">
        <f>3130298+3130298+3130298+3130298</f>
        <v>12521192</v>
      </c>
      <c r="AM17" s="7"/>
    </row>
    <row r="18" spans="1:39" ht="113.25" customHeight="1" x14ac:dyDescent="0.3">
      <c r="A18" s="7" t="s">
        <v>99</v>
      </c>
      <c r="B18" s="62" t="s">
        <v>40</v>
      </c>
      <c r="C18" s="61" t="s">
        <v>100</v>
      </c>
      <c r="D18" s="7" t="s">
        <v>101</v>
      </c>
      <c r="E18" s="7" t="s">
        <v>102</v>
      </c>
      <c r="F18" s="7">
        <v>80111600</v>
      </c>
      <c r="G18" s="91" t="s">
        <v>93</v>
      </c>
      <c r="H18" s="7">
        <v>1</v>
      </c>
      <c r="I18" s="7">
        <v>1</v>
      </c>
      <c r="J18" s="7">
        <v>11</v>
      </c>
      <c r="K18" s="7">
        <v>1</v>
      </c>
      <c r="L18" s="7" t="s">
        <v>45</v>
      </c>
      <c r="M18" s="7" t="s">
        <v>46</v>
      </c>
      <c r="N18" s="156">
        <f>2914982*2</f>
        <v>5829964</v>
      </c>
      <c r="O18" s="7">
        <v>0</v>
      </c>
      <c r="P18" s="7">
        <v>0</v>
      </c>
      <c r="Q18" s="7" t="s">
        <v>47</v>
      </c>
      <c r="R18" s="7" t="s">
        <v>48</v>
      </c>
      <c r="S18" s="91" t="s">
        <v>49</v>
      </c>
      <c r="T18" s="91">
        <v>3846666</v>
      </c>
      <c r="U18" s="68" t="s">
        <v>50</v>
      </c>
      <c r="V18" s="7" t="s">
        <v>51</v>
      </c>
      <c r="W18" s="7" t="s">
        <v>52</v>
      </c>
      <c r="X18" s="7" t="s">
        <v>90</v>
      </c>
      <c r="Y18" s="7"/>
      <c r="Z18" s="7"/>
      <c r="AA18" s="7"/>
      <c r="AB18" s="8">
        <f t="shared" ref="AB18" si="6">+N18+Y18+Z18-AA18</f>
        <v>5829964</v>
      </c>
      <c r="AC18" s="180">
        <v>2921</v>
      </c>
      <c r="AD18" s="181">
        <v>5829964</v>
      </c>
      <c r="AE18" s="181">
        <f t="shared" si="2"/>
        <v>0</v>
      </c>
      <c r="AF18" s="275">
        <v>3521</v>
      </c>
      <c r="AG18" s="291">
        <v>44225</v>
      </c>
      <c r="AH18" s="276">
        <v>5829964</v>
      </c>
      <c r="AI18" s="276">
        <f t="shared" si="3"/>
        <v>0</v>
      </c>
      <c r="AJ18" s="275" t="s">
        <v>94</v>
      </c>
      <c r="AK18" s="275" t="s">
        <v>95</v>
      </c>
      <c r="AL18" s="182"/>
      <c r="AM18" s="7"/>
    </row>
    <row r="19" spans="1:39" ht="113.25" customHeight="1" x14ac:dyDescent="0.3">
      <c r="A19" s="7" t="s">
        <v>99</v>
      </c>
      <c r="B19" s="62" t="s">
        <v>40</v>
      </c>
      <c r="C19" s="61" t="s">
        <v>100</v>
      </c>
      <c r="D19" s="7" t="s">
        <v>101</v>
      </c>
      <c r="E19" s="7" t="s">
        <v>102</v>
      </c>
      <c r="F19" s="7">
        <v>80111600</v>
      </c>
      <c r="G19" s="7" t="s">
        <v>103</v>
      </c>
      <c r="H19" s="7">
        <v>1</v>
      </c>
      <c r="I19" s="7">
        <v>1</v>
      </c>
      <c r="J19" s="7">
        <v>11</v>
      </c>
      <c r="K19" s="7">
        <v>1</v>
      </c>
      <c r="L19" s="7" t="s">
        <v>45</v>
      </c>
      <c r="M19" s="7" t="s">
        <v>46</v>
      </c>
      <c r="N19" s="156">
        <f>2320000*11</f>
        <v>25520000</v>
      </c>
      <c r="O19" s="7">
        <v>0</v>
      </c>
      <c r="P19" s="7">
        <v>0</v>
      </c>
      <c r="Q19" s="7" t="s">
        <v>47</v>
      </c>
      <c r="R19" s="7" t="s">
        <v>48</v>
      </c>
      <c r="S19" s="91" t="s">
        <v>49</v>
      </c>
      <c r="T19" s="91">
        <v>3846666</v>
      </c>
      <c r="U19" s="68" t="s">
        <v>50</v>
      </c>
      <c r="V19" s="7" t="s">
        <v>51</v>
      </c>
      <c r="W19" s="7" t="s">
        <v>104</v>
      </c>
      <c r="X19" s="7" t="s">
        <v>105</v>
      </c>
      <c r="Y19" s="7"/>
      <c r="Z19" s="7"/>
      <c r="AA19" s="7"/>
      <c r="AB19" s="8">
        <f t="shared" si="0"/>
        <v>25520000</v>
      </c>
      <c r="AC19" s="180">
        <v>2821</v>
      </c>
      <c r="AD19" s="181">
        <v>25520000</v>
      </c>
      <c r="AE19" s="181">
        <f t="shared" si="2"/>
        <v>0</v>
      </c>
      <c r="AF19" s="275">
        <v>2221</v>
      </c>
      <c r="AG19" s="291">
        <v>44222</v>
      </c>
      <c r="AH19" s="276">
        <v>25520000</v>
      </c>
      <c r="AI19" s="276">
        <f t="shared" si="3"/>
        <v>0</v>
      </c>
      <c r="AJ19" s="275" t="s">
        <v>106</v>
      </c>
      <c r="AK19" s="275" t="s">
        <v>107</v>
      </c>
      <c r="AL19" s="184">
        <f>2320000+309333+2320000+2320000+2320000</f>
        <v>9589333</v>
      </c>
      <c r="AM19" s="7"/>
    </row>
    <row r="20" spans="1:39" ht="113.25" customHeight="1" x14ac:dyDescent="0.3">
      <c r="A20" s="7" t="s">
        <v>99</v>
      </c>
      <c r="B20" s="62" t="s">
        <v>40</v>
      </c>
      <c r="C20" s="61" t="s">
        <v>100</v>
      </c>
      <c r="D20" s="7" t="s">
        <v>101</v>
      </c>
      <c r="E20" s="7" t="s">
        <v>102</v>
      </c>
      <c r="F20" s="7">
        <v>80111600</v>
      </c>
      <c r="G20" s="7" t="s">
        <v>108</v>
      </c>
      <c r="H20" s="7">
        <v>1</v>
      </c>
      <c r="I20" s="7">
        <v>1</v>
      </c>
      <c r="J20" s="7">
        <v>11</v>
      </c>
      <c r="K20" s="7">
        <v>1</v>
      </c>
      <c r="L20" s="7" t="s">
        <v>45</v>
      </c>
      <c r="M20" s="7" t="s">
        <v>46</v>
      </c>
      <c r="N20" s="156">
        <f>3130298*11</f>
        <v>34433278</v>
      </c>
      <c r="O20" s="7">
        <v>0</v>
      </c>
      <c r="P20" s="7">
        <v>0</v>
      </c>
      <c r="Q20" s="7" t="s">
        <v>47</v>
      </c>
      <c r="R20" s="7" t="s">
        <v>48</v>
      </c>
      <c r="S20" s="91" t="s">
        <v>49</v>
      </c>
      <c r="T20" s="91">
        <v>3846666</v>
      </c>
      <c r="U20" s="68" t="s">
        <v>50</v>
      </c>
      <c r="V20" s="7" t="s">
        <v>51</v>
      </c>
      <c r="W20" s="7" t="s">
        <v>52</v>
      </c>
      <c r="X20" s="7" t="s">
        <v>105</v>
      </c>
      <c r="Y20" s="7"/>
      <c r="Z20" s="7"/>
      <c r="AA20" s="7"/>
      <c r="AB20" s="8">
        <f t="shared" si="0"/>
        <v>34433278</v>
      </c>
      <c r="AC20" s="180">
        <v>2721</v>
      </c>
      <c r="AD20" s="181">
        <v>34433278</v>
      </c>
      <c r="AE20" s="181">
        <f t="shared" si="2"/>
        <v>0</v>
      </c>
      <c r="AF20" s="275">
        <v>2321</v>
      </c>
      <c r="AG20" s="275" t="s">
        <v>109</v>
      </c>
      <c r="AH20" s="276">
        <v>34433278</v>
      </c>
      <c r="AI20" s="276">
        <f t="shared" si="3"/>
        <v>0</v>
      </c>
      <c r="AJ20" s="275" t="s">
        <v>110</v>
      </c>
      <c r="AK20" s="275" t="s">
        <v>111</v>
      </c>
      <c r="AL20" s="184">
        <f>3130298+417373+3130298+3130298+3130298</f>
        <v>12938565</v>
      </c>
      <c r="AM20" s="7"/>
    </row>
    <row r="21" spans="1:39" ht="113.25" customHeight="1" x14ac:dyDescent="0.3">
      <c r="A21" s="7" t="s">
        <v>99</v>
      </c>
      <c r="B21" s="62" t="s">
        <v>40</v>
      </c>
      <c r="C21" s="61" t="s">
        <v>100</v>
      </c>
      <c r="D21" s="7" t="s">
        <v>101</v>
      </c>
      <c r="E21" s="7" t="s">
        <v>102</v>
      </c>
      <c r="F21" s="7">
        <v>80111600</v>
      </c>
      <c r="G21" s="7" t="s">
        <v>112</v>
      </c>
      <c r="H21" s="7">
        <v>1</v>
      </c>
      <c r="I21" s="7">
        <v>1</v>
      </c>
      <c r="J21" s="7">
        <v>11</v>
      </c>
      <c r="K21" s="7">
        <v>1</v>
      </c>
      <c r="L21" s="7" t="s">
        <v>45</v>
      </c>
      <c r="M21" s="7" t="s">
        <v>46</v>
      </c>
      <c r="N21" s="156">
        <f>1200265*11</f>
        <v>13202915</v>
      </c>
      <c r="O21" s="7">
        <v>0</v>
      </c>
      <c r="P21" s="7">
        <v>0</v>
      </c>
      <c r="Q21" s="7" t="s">
        <v>47</v>
      </c>
      <c r="R21" s="7" t="s">
        <v>48</v>
      </c>
      <c r="S21" s="91" t="s">
        <v>49</v>
      </c>
      <c r="T21" s="91">
        <v>3846666</v>
      </c>
      <c r="U21" s="68" t="s">
        <v>50</v>
      </c>
      <c r="V21" s="7" t="s">
        <v>51</v>
      </c>
      <c r="W21" s="7" t="s">
        <v>73</v>
      </c>
      <c r="X21" s="7" t="s">
        <v>105</v>
      </c>
      <c r="Y21" s="7"/>
      <c r="Z21" s="7"/>
      <c r="AA21" s="7"/>
      <c r="AB21" s="8">
        <f t="shared" si="0"/>
        <v>13202915</v>
      </c>
      <c r="AC21" s="180">
        <v>2621</v>
      </c>
      <c r="AD21" s="181">
        <v>13202915</v>
      </c>
      <c r="AE21" s="181">
        <f t="shared" si="2"/>
        <v>0</v>
      </c>
      <c r="AF21" s="275">
        <v>2121</v>
      </c>
      <c r="AG21" s="291">
        <v>44222</v>
      </c>
      <c r="AH21" s="276">
        <v>13202915</v>
      </c>
      <c r="AI21" s="276">
        <f t="shared" si="3"/>
        <v>0</v>
      </c>
      <c r="AJ21" s="275" t="s">
        <v>113</v>
      </c>
      <c r="AK21" s="275" t="s">
        <v>114</v>
      </c>
      <c r="AL21" s="184">
        <f>160035+1200265+1200265+1200265+1200265</f>
        <v>4961095</v>
      </c>
      <c r="AM21" s="7"/>
    </row>
    <row r="22" spans="1:39" ht="113.25" customHeight="1" x14ac:dyDescent="0.3">
      <c r="A22" s="7" t="s">
        <v>99</v>
      </c>
      <c r="B22" s="62" t="s">
        <v>40</v>
      </c>
      <c r="C22" s="61" t="s">
        <v>100</v>
      </c>
      <c r="D22" s="7" t="s">
        <v>101</v>
      </c>
      <c r="E22" s="7" t="s">
        <v>102</v>
      </c>
      <c r="F22" s="7">
        <v>80111600</v>
      </c>
      <c r="G22" s="7" t="s">
        <v>115</v>
      </c>
      <c r="H22" s="7">
        <v>1</v>
      </c>
      <c r="I22" s="7">
        <v>1</v>
      </c>
      <c r="J22" s="7">
        <v>11</v>
      </c>
      <c r="K22" s="7">
        <v>1</v>
      </c>
      <c r="L22" s="7" t="s">
        <v>45</v>
      </c>
      <c r="M22" s="7" t="s">
        <v>46</v>
      </c>
      <c r="N22" s="156">
        <f>1200265*11</f>
        <v>13202915</v>
      </c>
      <c r="O22" s="7">
        <v>0</v>
      </c>
      <c r="P22" s="7">
        <v>0</v>
      </c>
      <c r="Q22" s="7" t="s">
        <v>47</v>
      </c>
      <c r="R22" s="7" t="s">
        <v>48</v>
      </c>
      <c r="S22" s="91" t="s">
        <v>49</v>
      </c>
      <c r="T22" s="91">
        <v>3846666</v>
      </c>
      <c r="U22" s="68" t="s">
        <v>50</v>
      </c>
      <c r="V22" s="7" t="s">
        <v>51</v>
      </c>
      <c r="W22" s="7" t="s">
        <v>73</v>
      </c>
      <c r="X22" s="7" t="s">
        <v>105</v>
      </c>
      <c r="Y22" s="7"/>
      <c r="Z22" s="7"/>
      <c r="AA22" s="7"/>
      <c r="AB22" s="8">
        <f t="shared" si="0"/>
        <v>13202915</v>
      </c>
      <c r="AC22" s="180">
        <v>2521</v>
      </c>
      <c r="AD22" s="181">
        <v>13202915</v>
      </c>
      <c r="AE22" s="181">
        <f t="shared" si="2"/>
        <v>0</v>
      </c>
      <c r="AF22" s="275">
        <v>2021</v>
      </c>
      <c r="AG22" s="291">
        <v>44222</v>
      </c>
      <c r="AH22" s="276">
        <v>13202915</v>
      </c>
      <c r="AI22" s="276">
        <f t="shared" si="3"/>
        <v>0</v>
      </c>
      <c r="AJ22" s="275" t="s">
        <v>116</v>
      </c>
      <c r="AK22" s="275" t="s">
        <v>117</v>
      </c>
      <c r="AL22" s="184">
        <f>1200265+160035+1200265+1200265+1200265</f>
        <v>4961095</v>
      </c>
      <c r="AM22" s="7"/>
    </row>
    <row r="23" spans="1:39" ht="113.25" customHeight="1" x14ac:dyDescent="0.3">
      <c r="A23" s="7" t="s">
        <v>99</v>
      </c>
      <c r="B23" s="62" t="s">
        <v>40</v>
      </c>
      <c r="C23" s="61" t="s">
        <v>100</v>
      </c>
      <c r="D23" s="7" t="s">
        <v>118</v>
      </c>
      <c r="E23" s="7" t="s">
        <v>119</v>
      </c>
      <c r="F23" s="7">
        <v>90121702</v>
      </c>
      <c r="G23" s="7" t="s">
        <v>120</v>
      </c>
      <c r="H23" s="7">
        <v>2</v>
      </c>
      <c r="I23" s="7">
        <v>2</v>
      </c>
      <c r="J23" s="7">
        <v>10</v>
      </c>
      <c r="K23" s="7">
        <v>1</v>
      </c>
      <c r="L23" s="7" t="s">
        <v>45</v>
      </c>
      <c r="M23" s="91" t="s">
        <v>121</v>
      </c>
      <c r="N23" s="176">
        <v>10000000</v>
      </c>
      <c r="O23" s="7">
        <v>0</v>
      </c>
      <c r="P23" s="7">
        <v>0</v>
      </c>
      <c r="Q23" s="7" t="s">
        <v>47</v>
      </c>
      <c r="R23" s="7" t="s">
        <v>48</v>
      </c>
      <c r="S23" s="91" t="s">
        <v>49</v>
      </c>
      <c r="T23" s="91">
        <v>3846666</v>
      </c>
      <c r="U23" s="68" t="s">
        <v>50</v>
      </c>
      <c r="V23" s="7" t="s">
        <v>51</v>
      </c>
      <c r="W23" s="7" t="s">
        <v>86</v>
      </c>
      <c r="X23" s="7" t="s">
        <v>122</v>
      </c>
      <c r="Y23" s="7"/>
      <c r="Z23" s="7"/>
      <c r="AA23" s="178">
        <f>2448094+2448094+2448094+2655718</f>
        <v>10000000</v>
      </c>
      <c r="AB23" s="262">
        <f t="shared" si="0"/>
        <v>0</v>
      </c>
      <c r="AC23" s="248"/>
      <c r="AD23" s="249"/>
      <c r="AE23" s="261">
        <f t="shared" si="2"/>
        <v>0</v>
      </c>
      <c r="AF23" s="248"/>
      <c r="AG23" s="248"/>
      <c r="AH23" s="249"/>
      <c r="AI23" s="249">
        <f t="shared" si="3"/>
        <v>0</v>
      </c>
      <c r="AJ23" s="248"/>
      <c r="AK23" s="248"/>
      <c r="AL23" s="249"/>
      <c r="AM23" s="7" t="s">
        <v>123</v>
      </c>
    </row>
    <row r="24" spans="1:39" ht="97.2" customHeight="1" x14ac:dyDescent="0.3">
      <c r="A24" s="7" t="s">
        <v>99</v>
      </c>
      <c r="B24" s="62" t="s">
        <v>40</v>
      </c>
      <c r="C24" s="61" t="s">
        <v>100</v>
      </c>
      <c r="D24" s="7" t="s">
        <v>124</v>
      </c>
      <c r="E24" s="7" t="s">
        <v>119</v>
      </c>
      <c r="F24" s="7">
        <v>80111600</v>
      </c>
      <c r="G24" s="7" t="s">
        <v>125</v>
      </c>
      <c r="H24" s="77">
        <v>1</v>
      </c>
      <c r="I24" s="77">
        <v>1</v>
      </c>
      <c r="J24" s="77">
        <v>11</v>
      </c>
      <c r="K24" s="77">
        <v>1</v>
      </c>
      <c r="L24" s="7" t="s">
        <v>45</v>
      </c>
      <c r="M24" s="91" t="s">
        <v>121</v>
      </c>
      <c r="N24" s="8">
        <v>0</v>
      </c>
      <c r="O24" s="7">
        <v>0</v>
      </c>
      <c r="P24" s="7">
        <v>0</v>
      </c>
      <c r="Q24" s="7" t="s">
        <v>47</v>
      </c>
      <c r="R24" s="7" t="s">
        <v>48</v>
      </c>
      <c r="S24" s="91" t="s">
        <v>49</v>
      </c>
      <c r="T24" s="91">
        <v>3846666</v>
      </c>
      <c r="U24" s="68" t="s">
        <v>50</v>
      </c>
      <c r="V24" s="7" t="s">
        <v>51</v>
      </c>
      <c r="W24" s="7" t="s">
        <v>73</v>
      </c>
      <c r="X24" s="91" t="s">
        <v>126</v>
      </c>
      <c r="Y24" s="177">
        <v>2448094</v>
      </c>
      <c r="Z24" s="7"/>
      <c r="AA24" s="7"/>
      <c r="AB24" s="8">
        <f t="shared" si="0"/>
        <v>2448094</v>
      </c>
      <c r="AC24" s="180">
        <v>4021</v>
      </c>
      <c r="AD24" s="181">
        <v>2448094</v>
      </c>
      <c r="AE24" s="181">
        <f t="shared" si="2"/>
        <v>0</v>
      </c>
      <c r="AF24" s="275">
        <v>4021</v>
      </c>
      <c r="AG24" s="291">
        <v>44225</v>
      </c>
      <c r="AH24" s="276">
        <v>2448094</v>
      </c>
      <c r="AI24" s="276">
        <f t="shared" si="3"/>
        <v>0</v>
      </c>
      <c r="AJ24" s="275" t="s">
        <v>127</v>
      </c>
      <c r="AK24" s="275" t="s">
        <v>128</v>
      </c>
      <c r="AL24" s="182"/>
      <c r="AM24" s="7" t="s">
        <v>129</v>
      </c>
    </row>
    <row r="25" spans="1:39" ht="124.95" customHeight="1" x14ac:dyDescent="0.3">
      <c r="A25" s="7" t="s">
        <v>99</v>
      </c>
      <c r="B25" s="62" t="s">
        <v>40</v>
      </c>
      <c r="C25" s="61" t="s">
        <v>100</v>
      </c>
      <c r="D25" s="7" t="s">
        <v>124</v>
      </c>
      <c r="E25" s="7" t="s">
        <v>119</v>
      </c>
      <c r="F25" s="7">
        <v>80111600</v>
      </c>
      <c r="G25" s="7" t="s">
        <v>125</v>
      </c>
      <c r="H25" s="77">
        <v>1</v>
      </c>
      <c r="I25" s="77">
        <v>1</v>
      </c>
      <c r="J25" s="77">
        <v>11</v>
      </c>
      <c r="K25" s="77">
        <v>1</v>
      </c>
      <c r="L25" s="7" t="s">
        <v>45</v>
      </c>
      <c r="M25" s="91" t="s">
        <v>121</v>
      </c>
      <c r="N25" s="8">
        <v>0</v>
      </c>
      <c r="O25" s="7">
        <v>0</v>
      </c>
      <c r="P25" s="7">
        <v>0</v>
      </c>
      <c r="Q25" s="7" t="s">
        <v>47</v>
      </c>
      <c r="R25" s="7" t="s">
        <v>48</v>
      </c>
      <c r="S25" s="91" t="s">
        <v>49</v>
      </c>
      <c r="T25" s="91">
        <v>3846666</v>
      </c>
      <c r="U25" s="68" t="s">
        <v>50</v>
      </c>
      <c r="V25" s="7" t="s">
        <v>51</v>
      </c>
      <c r="W25" s="7" t="s">
        <v>73</v>
      </c>
      <c r="X25" s="91" t="s">
        <v>122</v>
      </c>
      <c r="Y25" s="177">
        <v>2448094</v>
      </c>
      <c r="Z25" s="7"/>
      <c r="AA25" s="7"/>
      <c r="AB25" s="8">
        <f t="shared" si="0"/>
        <v>2448094</v>
      </c>
      <c r="AC25" s="180">
        <v>4121</v>
      </c>
      <c r="AD25" s="181">
        <v>2448094</v>
      </c>
      <c r="AE25" s="181">
        <f t="shared" si="2"/>
        <v>0</v>
      </c>
      <c r="AF25" s="275">
        <v>4421</v>
      </c>
      <c r="AG25" s="291">
        <v>44228</v>
      </c>
      <c r="AH25" s="276">
        <v>2448094</v>
      </c>
      <c r="AI25" s="276">
        <f t="shared" si="3"/>
        <v>0</v>
      </c>
      <c r="AJ25" s="275" t="s">
        <v>130</v>
      </c>
      <c r="AK25" s="292" t="s">
        <v>131</v>
      </c>
      <c r="AL25" s="182"/>
      <c r="AM25" s="7" t="s">
        <v>129</v>
      </c>
    </row>
    <row r="26" spans="1:39" ht="97.2" customHeight="1" x14ac:dyDescent="0.3">
      <c r="A26" s="7" t="s">
        <v>99</v>
      </c>
      <c r="B26" s="62" t="s">
        <v>40</v>
      </c>
      <c r="C26" s="61" t="s">
        <v>100</v>
      </c>
      <c r="D26" s="7" t="s">
        <v>124</v>
      </c>
      <c r="E26" s="7" t="s">
        <v>119</v>
      </c>
      <c r="F26" s="7">
        <v>80111600</v>
      </c>
      <c r="G26" s="7" t="s">
        <v>125</v>
      </c>
      <c r="H26" s="77">
        <v>1</v>
      </c>
      <c r="I26" s="77">
        <v>1</v>
      </c>
      <c r="J26" s="77">
        <v>11</v>
      </c>
      <c r="K26" s="77">
        <v>1</v>
      </c>
      <c r="L26" s="7" t="s">
        <v>45</v>
      </c>
      <c r="M26" s="91" t="s">
        <v>121</v>
      </c>
      <c r="N26" s="8">
        <v>0</v>
      </c>
      <c r="O26" s="7">
        <v>0</v>
      </c>
      <c r="P26" s="7">
        <v>0</v>
      </c>
      <c r="Q26" s="7" t="s">
        <v>47</v>
      </c>
      <c r="R26" s="7" t="s">
        <v>48</v>
      </c>
      <c r="S26" s="91" t="s">
        <v>49</v>
      </c>
      <c r="T26" s="91">
        <v>3846666</v>
      </c>
      <c r="U26" s="68" t="s">
        <v>50</v>
      </c>
      <c r="V26" s="7" t="s">
        <v>51</v>
      </c>
      <c r="W26" s="7" t="s">
        <v>73</v>
      </c>
      <c r="X26" s="91" t="s">
        <v>132</v>
      </c>
      <c r="Y26" s="177">
        <v>2448094</v>
      </c>
      <c r="Z26" s="7"/>
      <c r="AA26" s="7"/>
      <c r="AB26" s="8">
        <f t="shared" si="0"/>
        <v>2448094</v>
      </c>
      <c r="AC26" s="180">
        <v>4221</v>
      </c>
      <c r="AD26" s="181">
        <v>2448094</v>
      </c>
      <c r="AE26" s="181">
        <f t="shared" si="2"/>
        <v>0</v>
      </c>
      <c r="AF26" s="275">
        <v>4121</v>
      </c>
      <c r="AG26" s="293">
        <v>44225</v>
      </c>
      <c r="AH26" s="276">
        <v>2448094</v>
      </c>
      <c r="AI26" s="276">
        <f t="shared" si="3"/>
        <v>0</v>
      </c>
      <c r="AJ26" s="275" t="s">
        <v>133</v>
      </c>
      <c r="AK26" s="275" t="s">
        <v>134</v>
      </c>
      <c r="AL26" s="182"/>
      <c r="AM26" s="7" t="s">
        <v>129</v>
      </c>
    </row>
    <row r="27" spans="1:39" ht="94.95" customHeight="1" x14ac:dyDescent="0.3">
      <c r="A27" s="7" t="s">
        <v>99</v>
      </c>
      <c r="B27" s="62" t="s">
        <v>40</v>
      </c>
      <c r="C27" s="61" t="s">
        <v>100</v>
      </c>
      <c r="D27" s="7" t="s">
        <v>124</v>
      </c>
      <c r="E27" s="7" t="s">
        <v>119</v>
      </c>
      <c r="F27" s="7">
        <v>80111600</v>
      </c>
      <c r="G27" s="7" t="s">
        <v>125</v>
      </c>
      <c r="H27" s="77">
        <v>1</v>
      </c>
      <c r="I27" s="77">
        <v>1</v>
      </c>
      <c r="J27" s="77">
        <v>11</v>
      </c>
      <c r="K27" s="77">
        <v>1</v>
      </c>
      <c r="L27" s="7" t="s">
        <v>45</v>
      </c>
      <c r="M27" s="7" t="s">
        <v>46</v>
      </c>
      <c r="N27" s="156">
        <f>1875812*11</f>
        <v>20633932</v>
      </c>
      <c r="O27" s="7">
        <v>0</v>
      </c>
      <c r="P27" s="7">
        <v>0</v>
      </c>
      <c r="Q27" s="7" t="s">
        <v>47</v>
      </c>
      <c r="R27" s="7" t="s">
        <v>48</v>
      </c>
      <c r="S27" s="91" t="s">
        <v>49</v>
      </c>
      <c r="T27" s="91">
        <v>3846666</v>
      </c>
      <c r="U27" s="68" t="s">
        <v>50</v>
      </c>
      <c r="V27" s="7" t="s">
        <v>51</v>
      </c>
      <c r="W27" s="7" t="s">
        <v>73</v>
      </c>
      <c r="X27" s="91" t="s">
        <v>126</v>
      </c>
      <c r="Y27" s="7"/>
      <c r="Z27" s="7"/>
      <c r="AA27" s="7"/>
      <c r="AB27" s="8">
        <f t="shared" si="0"/>
        <v>20633932</v>
      </c>
      <c r="AC27" s="180">
        <v>4021</v>
      </c>
      <c r="AD27" s="181">
        <v>20633932</v>
      </c>
      <c r="AE27" s="181">
        <f t="shared" si="2"/>
        <v>0</v>
      </c>
      <c r="AF27" s="275">
        <v>4021</v>
      </c>
      <c r="AG27" s="291">
        <v>44225</v>
      </c>
      <c r="AH27" s="276">
        <v>20633932</v>
      </c>
      <c r="AI27" s="276">
        <f t="shared" si="3"/>
        <v>0</v>
      </c>
      <c r="AJ27" s="275" t="s">
        <v>127</v>
      </c>
      <c r="AK27" s="275" t="s">
        <v>128</v>
      </c>
      <c r="AL27" s="184">
        <f>2098366+2098366+2098366+2098366</f>
        <v>8393464</v>
      </c>
      <c r="AM27" s="7"/>
    </row>
    <row r="28" spans="1:39" ht="103.2" customHeight="1" x14ac:dyDescent="0.3">
      <c r="A28" s="7" t="s">
        <v>99</v>
      </c>
      <c r="B28" s="62" t="s">
        <v>40</v>
      </c>
      <c r="C28" s="61" t="s">
        <v>100</v>
      </c>
      <c r="D28" s="7" t="s">
        <v>124</v>
      </c>
      <c r="E28" s="7" t="s">
        <v>119</v>
      </c>
      <c r="F28" s="7">
        <v>80111600</v>
      </c>
      <c r="G28" s="7" t="s">
        <v>125</v>
      </c>
      <c r="H28" s="77">
        <v>1</v>
      </c>
      <c r="I28" s="77">
        <v>1</v>
      </c>
      <c r="J28" s="77">
        <v>11</v>
      </c>
      <c r="K28" s="7">
        <v>1</v>
      </c>
      <c r="L28" s="7" t="s">
        <v>45</v>
      </c>
      <c r="M28" s="7" t="s">
        <v>46</v>
      </c>
      <c r="N28" s="156">
        <f t="shared" ref="N28:N29" si="7">1875812*11</f>
        <v>20633932</v>
      </c>
      <c r="O28" s="7">
        <v>0</v>
      </c>
      <c r="P28" s="7">
        <v>0</v>
      </c>
      <c r="Q28" s="7" t="s">
        <v>47</v>
      </c>
      <c r="R28" s="7" t="s">
        <v>48</v>
      </c>
      <c r="S28" s="91" t="s">
        <v>49</v>
      </c>
      <c r="T28" s="91">
        <v>3846666</v>
      </c>
      <c r="U28" s="68" t="s">
        <v>50</v>
      </c>
      <c r="V28" s="7" t="s">
        <v>51</v>
      </c>
      <c r="W28" s="7" t="s">
        <v>73</v>
      </c>
      <c r="X28" s="91" t="s">
        <v>122</v>
      </c>
      <c r="Y28" s="7"/>
      <c r="Z28" s="7"/>
      <c r="AA28" s="7"/>
      <c r="AB28" s="8">
        <f t="shared" si="0"/>
        <v>20633932</v>
      </c>
      <c r="AC28" s="180">
        <v>4121</v>
      </c>
      <c r="AD28" s="181">
        <v>20633932</v>
      </c>
      <c r="AE28" s="181">
        <f t="shared" si="2"/>
        <v>0</v>
      </c>
      <c r="AF28" s="275">
        <v>4421</v>
      </c>
      <c r="AG28" s="291">
        <v>44228</v>
      </c>
      <c r="AH28" s="276">
        <v>20633932</v>
      </c>
      <c r="AI28" s="276">
        <f t="shared" si="3"/>
        <v>0</v>
      </c>
      <c r="AJ28" s="275" t="s">
        <v>130</v>
      </c>
      <c r="AK28" s="292" t="s">
        <v>131</v>
      </c>
      <c r="AL28" s="184">
        <f>2098366+2098366+2098366+2098366</f>
        <v>8393464</v>
      </c>
      <c r="AM28" s="7"/>
    </row>
    <row r="29" spans="1:39" ht="69.599999999999994" customHeight="1" x14ac:dyDescent="0.3">
      <c r="A29" s="7" t="s">
        <v>99</v>
      </c>
      <c r="B29" s="62" t="s">
        <v>40</v>
      </c>
      <c r="C29" s="61" t="s">
        <v>100</v>
      </c>
      <c r="D29" s="7" t="s">
        <v>124</v>
      </c>
      <c r="E29" s="7" t="s">
        <v>119</v>
      </c>
      <c r="F29" s="7">
        <v>80111600</v>
      </c>
      <c r="G29" s="7" t="s">
        <v>125</v>
      </c>
      <c r="H29" s="77">
        <v>1</v>
      </c>
      <c r="I29" s="77">
        <v>1</v>
      </c>
      <c r="J29" s="77">
        <v>11</v>
      </c>
      <c r="K29" s="7">
        <v>1</v>
      </c>
      <c r="L29" s="7" t="s">
        <v>45</v>
      </c>
      <c r="M29" s="7" t="s">
        <v>46</v>
      </c>
      <c r="N29" s="156">
        <f t="shared" si="7"/>
        <v>20633932</v>
      </c>
      <c r="O29" s="7">
        <v>0</v>
      </c>
      <c r="P29" s="7">
        <v>0</v>
      </c>
      <c r="Q29" s="7" t="s">
        <v>47</v>
      </c>
      <c r="R29" s="7" t="s">
        <v>48</v>
      </c>
      <c r="S29" s="91" t="s">
        <v>49</v>
      </c>
      <c r="T29" s="91">
        <v>3846666</v>
      </c>
      <c r="U29" s="68" t="s">
        <v>50</v>
      </c>
      <c r="V29" s="7" t="s">
        <v>51</v>
      </c>
      <c r="W29" s="7" t="s">
        <v>73</v>
      </c>
      <c r="X29" s="91" t="s">
        <v>132</v>
      </c>
      <c r="Y29" s="7"/>
      <c r="Z29" s="7"/>
      <c r="AA29" s="7"/>
      <c r="AB29" s="8">
        <f t="shared" si="0"/>
        <v>20633932</v>
      </c>
      <c r="AC29" s="180">
        <v>4221</v>
      </c>
      <c r="AD29" s="181">
        <v>20633932</v>
      </c>
      <c r="AE29" s="181">
        <f t="shared" si="2"/>
        <v>0</v>
      </c>
      <c r="AF29" s="275">
        <v>4121</v>
      </c>
      <c r="AG29" s="291">
        <v>44225</v>
      </c>
      <c r="AH29" s="276">
        <v>20633932</v>
      </c>
      <c r="AI29" s="276">
        <f t="shared" si="3"/>
        <v>0</v>
      </c>
      <c r="AJ29" s="275" t="s">
        <v>133</v>
      </c>
      <c r="AK29" s="275" t="s">
        <v>134</v>
      </c>
      <c r="AL29" s="184">
        <f>2098366+2098366+2098366+2098366</f>
        <v>8393464</v>
      </c>
      <c r="AM29" s="7"/>
    </row>
    <row r="30" spans="1:39" ht="76.95" customHeight="1" x14ac:dyDescent="0.3">
      <c r="A30" s="7" t="s">
        <v>99</v>
      </c>
      <c r="B30" s="62" t="s">
        <v>40</v>
      </c>
      <c r="C30" s="61" t="s">
        <v>100</v>
      </c>
      <c r="D30" s="7" t="s">
        <v>124</v>
      </c>
      <c r="E30" s="7" t="s">
        <v>119</v>
      </c>
      <c r="F30" s="7">
        <v>80111600</v>
      </c>
      <c r="G30" s="7" t="s">
        <v>135</v>
      </c>
      <c r="H30" s="77">
        <v>1</v>
      </c>
      <c r="I30" s="77">
        <v>1</v>
      </c>
      <c r="J30" s="77">
        <v>11</v>
      </c>
      <c r="K30" s="7">
        <v>1</v>
      </c>
      <c r="L30" s="7" t="s">
        <v>45</v>
      </c>
      <c r="M30" s="7" t="s">
        <v>46</v>
      </c>
      <c r="N30" s="156">
        <f>3130298*11</f>
        <v>34433278</v>
      </c>
      <c r="O30" s="7">
        <v>0</v>
      </c>
      <c r="P30" s="7">
        <v>0</v>
      </c>
      <c r="Q30" s="7" t="s">
        <v>47</v>
      </c>
      <c r="R30" s="7" t="s">
        <v>48</v>
      </c>
      <c r="S30" s="91" t="s">
        <v>49</v>
      </c>
      <c r="T30" s="91">
        <v>3846666</v>
      </c>
      <c r="U30" s="68" t="s">
        <v>50</v>
      </c>
      <c r="V30" s="7" t="s">
        <v>51</v>
      </c>
      <c r="W30" s="7" t="s">
        <v>52</v>
      </c>
      <c r="X30" s="7" t="s">
        <v>136</v>
      </c>
      <c r="Y30" s="7"/>
      <c r="Z30" s="7"/>
      <c r="AA30" s="7"/>
      <c r="AB30" s="8">
        <f t="shared" si="0"/>
        <v>34433278</v>
      </c>
      <c r="AC30" s="180">
        <v>2221</v>
      </c>
      <c r="AD30" s="181">
        <v>34433278</v>
      </c>
      <c r="AE30" s="181">
        <f t="shared" si="2"/>
        <v>0</v>
      </c>
      <c r="AF30" s="275">
        <v>2421</v>
      </c>
      <c r="AG30" s="291">
        <v>44223</v>
      </c>
      <c r="AH30" s="276">
        <v>34433278</v>
      </c>
      <c r="AI30" s="276">
        <f t="shared" si="3"/>
        <v>0</v>
      </c>
      <c r="AJ30" s="275" t="s">
        <v>137</v>
      </c>
      <c r="AK30" s="275" t="s">
        <v>138</v>
      </c>
      <c r="AL30" s="184">
        <f>3130298+417373+3130298+3130298+3130298</f>
        <v>12938565</v>
      </c>
      <c r="AM30" s="7"/>
    </row>
    <row r="31" spans="1:39" ht="80.400000000000006" customHeight="1" x14ac:dyDescent="0.3">
      <c r="A31" s="7" t="s">
        <v>99</v>
      </c>
      <c r="B31" s="62" t="s">
        <v>40</v>
      </c>
      <c r="C31" s="61" t="s">
        <v>100</v>
      </c>
      <c r="D31" s="7" t="s">
        <v>139</v>
      </c>
      <c r="E31" s="7" t="s">
        <v>119</v>
      </c>
      <c r="F31" s="7">
        <v>80111600</v>
      </c>
      <c r="G31" s="7" t="s">
        <v>140</v>
      </c>
      <c r="H31" s="7">
        <v>1</v>
      </c>
      <c r="I31" s="7">
        <v>1</v>
      </c>
      <c r="J31" s="7">
        <v>11</v>
      </c>
      <c r="K31" s="7">
        <v>1</v>
      </c>
      <c r="L31" s="7" t="s">
        <v>45</v>
      </c>
      <c r="M31" s="7" t="s">
        <v>46</v>
      </c>
      <c r="N31" s="156">
        <f>3130298*11</f>
        <v>34433278</v>
      </c>
      <c r="O31" s="7">
        <v>0</v>
      </c>
      <c r="P31" s="7">
        <v>0</v>
      </c>
      <c r="Q31" s="7" t="s">
        <v>47</v>
      </c>
      <c r="R31" s="7" t="s">
        <v>48</v>
      </c>
      <c r="S31" s="91" t="s">
        <v>49</v>
      </c>
      <c r="T31" s="91">
        <v>3846666</v>
      </c>
      <c r="U31" s="68" t="s">
        <v>50</v>
      </c>
      <c r="V31" s="7" t="s">
        <v>51</v>
      </c>
      <c r="W31" s="7" t="s">
        <v>52</v>
      </c>
      <c r="X31" s="7" t="s">
        <v>136</v>
      </c>
      <c r="Y31" s="7"/>
      <c r="Z31" s="7"/>
      <c r="AA31" s="7"/>
      <c r="AB31" s="8">
        <f t="shared" si="0"/>
        <v>34433278</v>
      </c>
      <c r="AC31" s="180">
        <v>2121</v>
      </c>
      <c r="AD31" s="181">
        <v>34433278</v>
      </c>
      <c r="AE31" s="181">
        <f t="shared" si="2"/>
        <v>0</v>
      </c>
      <c r="AF31" s="275">
        <v>2521</v>
      </c>
      <c r="AG31" s="291">
        <v>44223</v>
      </c>
      <c r="AH31" s="276">
        <v>34433278</v>
      </c>
      <c r="AI31" s="276">
        <f t="shared" si="3"/>
        <v>0</v>
      </c>
      <c r="AJ31" s="275" t="s">
        <v>141</v>
      </c>
      <c r="AK31" s="275" t="s">
        <v>142</v>
      </c>
      <c r="AL31" s="184">
        <f>3130298+417373+3130298+3130298+3130298</f>
        <v>12938565</v>
      </c>
      <c r="AM31" s="7"/>
    </row>
    <row r="32" spans="1:39" s="286" customFormat="1" ht="104.4" customHeight="1" x14ac:dyDescent="0.3">
      <c r="A32" s="64" t="s">
        <v>99</v>
      </c>
      <c r="B32" s="297" t="s">
        <v>40</v>
      </c>
      <c r="C32" s="298" t="s">
        <v>100</v>
      </c>
      <c r="D32" s="64" t="s">
        <v>143</v>
      </c>
      <c r="E32" s="64" t="s">
        <v>144</v>
      </c>
      <c r="F32" s="64">
        <v>78102203</v>
      </c>
      <c r="G32" s="64" t="s">
        <v>145</v>
      </c>
      <c r="H32" s="64">
        <v>5</v>
      </c>
      <c r="I32" s="64">
        <v>5</v>
      </c>
      <c r="J32" s="64">
        <v>7</v>
      </c>
      <c r="K32" s="64">
        <v>1</v>
      </c>
      <c r="L32" s="64" t="s">
        <v>45</v>
      </c>
      <c r="M32" s="64" t="s">
        <v>46</v>
      </c>
      <c r="N32" s="299">
        <v>0</v>
      </c>
      <c r="O32" s="64">
        <v>0</v>
      </c>
      <c r="P32" s="64">
        <v>0</v>
      </c>
      <c r="Q32" s="64" t="s">
        <v>47</v>
      </c>
      <c r="R32" s="64" t="s">
        <v>48</v>
      </c>
      <c r="S32" s="88" t="s">
        <v>146</v>
      </c>
      <c r="T32" s="88">
        <v>3846666</v>
      </c>
      <c r="U32" s="300" t="s">
        <v>147</v>
      </c>
      <c r="V32" s="64" t="s">
        <v>51</v>
      </c>
      <c r="W32" s="64" t="s">
        <v>86</v>
      </c>
      <c r="X32" s="64" t="s">
        <v>148</v>
      </c>
      <c r="Y32" s="301">
        <f>4228894+249600+249600+313030+303158</f>
        <v>5344282</v>
      </c>
      <c r="Z32" s="64"/>
      <c r="AA32" s="64"/>
      <c r="AB32" s="302">
        <f t="shared" si="0"/>
        <v>5344282</v>
      </c>
      <c r="AC32" s="189">
        <v>11721</v>
      </c>
      <c r="AD32" s="190">
        <v>5344282</v>
      </c>
      <c r="AE32" s="190">
        <f t="shared" si="2"/>
        <v>0</v>
      </c>
      <c r="AF32" s="303">
        <v>12921</v>
      </c>
      <c r="AG32" s="304" t="s">
        <v>149</v>
      </c>
      <c r="AH32" s="305">
        <v>5344282</v>
      </c>
      <c r="AI32" s="305">
        <f t="shared" si="3"/>
        <v>0</v>
      </c>
      <c r="AJ32" s="303" t="s">
        <v>150</v>
      </c>
      <c r="AK32" s="303" t="s">
        <v>151</v>
      </c>
      <c r="AL32" s="306"/>
      <c r="AM32" s="64"/>
    </row>
    <row r="33" spans="1:39" s="286" customFormat="1" ht="99.6" customHeight="1" x14ac:dyDescent="0.3">
      <c r="A33" s="64" t="s">
        <v>99</v>
      </c>
      <c r="B33" s="297" t="s">
        <v>40</v>
      </c>
      <c r="C33" s="298" t="s">
        <v>100</v>
      </c>
      <c r="D33" s="64" t="s">
        <v>143</v>
      </c>
      <c r="E33" s="64" t="s">
        <v>152</v>
      </c>
      <c r="F33" s="64">
        <v>78102203</v>
      </c>
      <c r="G33" s="64" t="s">
        <v>145</v>
      </c>
      <c r="H33" s="64">
        <v>5</v>
      </c>
      <c r="I33" s="64">
        <v>5</v>
      </c>
      <c r="J33" s="64">
        <v>7</v>
      </c>
      <c r="K33" s="64">
        <v>1</v>
      </c>
      <c r="L33" s="64" t="s">
        <v>45</v>
      </c>
      <c r="M33" s="64" t="s">
        <v>121</v>
      </c>
      <c r="N33" s="299">
        <v>0</v>
      </c>
      <c r="O33" s="64">
        <v>0</v>
      </c>
      <c r="P33" s="64">
        <v>0</v>
      </c>
      <c r="Q33" s="64" t="s">
        <v>47</v>
      </c>
      <c r="R33" s="64" t="s">
        <v>48</v>
      </c>
      <c r="S33" s="88" t="s">
        <v>146</v>
      </c>
      <c r="T33" s="88">
        <v>3846666</v>
      </c>
      <c r="U33" s="300" t="s">
        <v>147</v>
      </c>
      <c r="V33" s="64" t="s">
        <v>51</v>
      </c>
      <c r="W33" s="64" t="s">
        <v>86</v>
      </c>
      <c r="X33" s="64" t="s">
        <v>148</v>
      </c>
      <c r="Y33" s="301">
        <v>2655718</v>
      </c>
      <c r="Z33" s="64"/>
      <c r="AA33" s="64"/>
      <c r="AB33" s="302">
        <f t="shared" si="0"/>
        <v>2655718</v>
      </c>
      <c r="AC33" s="189">
        <v>11721</v>
      </c>
      <c r="AD33" s="190">
        <v>2655718</v>
      </c>
      <c r="AE33" s="190">
        <f t="shared" si="2"/>
        <v>0</v>
      </c>
      <c r="AF33" s="303">
        <v>12921</v>
      </c>
      <c r="AG33" s="304" t="s">
        <v>149</v>
      </c>
      <c r="AH33" s="305">
        <v>2655718</v>
      </c>
      <c r="AI33" s="305">
        <f>+AB33-AH33</f>
        <v>0</v>
      </c>
      <c r="AJ33" s="303" t="s">
        <v>150</v>
      </c>
      <c r="AK33" s="303" t="s">
        <v>151</v>
      </c>
      <c r="AL33" s="306"/>
      <c r="AM33" s="64" t="s">
        <v>62</v>
      </c>
    </row>
    <row r="34" spans="1:39" ht="113.25" customHeight="1" x14ac:dyDescent="0.3">
      <c r="A34" s="7" t="s">
        <v>99</v>
      </c>
      <c r="B34" s="62" t="s">
        <v>40</v>
      </c>
      <c r="C34" s="61" t="s">
        <v>100</v>
      </c>
      <c r="D34" s="7" t="s">
        <v>153</v>
      </c>
      <c r="E34" s="7" t="s">
        <v>154</v>
      </c>
      <c r="F34" s="7" t="s">
        <v>155</v>
      </c>
      <c r="G34" s="7" t="s">
        <v>156</v>
      </c>
      <c r="H34" s="58">
        <v>2</v>
      </c>
      <c r="I34" s="7">
        <v>2</v>
      </c>
      <c r="J34" s="7">
        <v>3</v>
      </c>
      <c r="K34" s="7">
        <v>1</v>
      </c>
      <c r="L34" s="7" t="s">
        <v>157</v>
      </c>
      <c r="M34" s="7" t="s">
        <v>46</v>
      </c>
      <c r="N34" s="156">
        <v>90000000</v>
      </c>
      <c r="O34" s="7">
        <v>0</v>
      </c>
      <c r="P34" s="7">
        <v>0</v>
      </c>
      <c r="Q34" s="7" t="s">
        <v>47</v>
      </c>
      <c r="R34" s="7" t="s">
        <v>48</v>
      </c>
      <c r="S34" s="91" t="s">
        <v>49</v>
      </c>
      <c r="T34" s="91">
        <v>3846666</v>
      </c>
      <c r="U34" s="68" t="s">
        <v>50</v>
      </c>
      <c r="V34" s="7" t="s">
        <v>51</v>
      </c>
      <c r="W34" s="7" t="s">
        <v>158</v>
      </c>
      <c r="X34" s="7" t="s">
        <v>159</v>
      </c>
      <c r="Y34" s="7"/>
      <c r="Z34" s="7"/>
      <c r="AA34" s="263">
        <v>4228894</v>
      </c>
      <c r="AB34" s="8">
        <f t="shared" si="0"/>
        <v>85771106</v>
      </c>
      <c r="AC34" s="248"/>
      <c r="AD34" s="249"/>
      <c r="AE34" s="261">
        <f t="shared" si="2"/>
        <v>85771106</v>
      </c>
      <c r="AF34" s="248"/>
      <c r="AG34" s="248"/>
      <c r="AH34" s="249"/>
      <c r="AI34" s="179">
        <f t="shared" si="3"/>
        <v>85771106</v>
      </c>
      <c r="AJ34" s="248"/>
      <c r="AK34" s="248"/>
      <c r="AL34" s="249"/>
      <c r="AM34" s="7" t="s">
        <v>62</v>
      </c>
    </row>
    <row r="35" spans="1:39" ht="120" customHeight="1" x14ac:dyDescent="0.3">
      <c r="A35" s="7" t="s">
        <v>99</v>
      </c>
      <c r="B35" s="62" t="s">
        <v>40</v>
      </c>
      <c r="C35" s="61" t="s">
        <v>100</v>
      </c>
      <c r="D35" s="7" t="s">
        <v>153</v>
      </c>
      <c r="E35" s="7" t="s">
        <v>154</v>
      </c>
      <c r="F35" s="7" t="s">
        <v>155</v>
      </c>
      <c r="G35" s="7" t="s">
        <v>156</v>
      </c>
      <c r="H35" s="58">
        <v>2</v>
      </c>
      <c r="I35" s="7">
        <v>2</v>
      </c>
      <c r="J35" s="7">
        <v>3</v>
      </c>
      <c r="K35" s="7">
        <v>1</v>
      </c>
      <c r="L35" s="7" t="s">
        <v>157</v>
      </c>
      <c r="M35" s="7" t="s">
        <v>121</v>
      </c>
      <c r="N35" s="156">
        <v>30000000</v>
      </c>
      <c r="O35" s="7">
        <v>0</v>
      </c>
      <c r="P35" s="7">
        <v>0</v>
      </c>
      <c r="Q35" s="7" t="s">
        <v>47</v>
      </c>
      <c r="R35" s="7" t="s">
        <v>48</v>
      </c>
      <c r="S35" s="91" t="s">
        <v>49</v>
      </c>
      <c r="T35" s="91">
        <v>3846666</v>
      </c>
      <c r="U35" s="68" t="s">
        <v>50</v>
      </c>
      <c r="V35" s="7" t="s">
        <v>51</v>
      </c>
      <c r="W35" s="7" t="s">
        <v>158</v>
      </c>
      <c r="X35" s="7" t="s">
        <v>159</v>
      </c>
      <c r="Y35" s="7"/>
      <c r="Z35" s="7"/>
      <c r="AA35" s="7"/>
      <c r="AB35" s="8">
        <f t="shared" si="0"/>
        <v>30000000</v>
      </c>
      <c r="AC35" s="248"/>
      <c r="AD35" s="249"/>
      <c r="AE35" s="261">
        <f t="shared" si="2"/>
        <v>30000000</v>
      </c>
      <c r="AF35" s="248"/>
      <c r="AG35" s="248"/>
      <c r="AH35" s="249"/>
      <c r="AI35" s="249">
        <f t="shared" si="3"/>
        <v>30000000</v>
      </c>
      <c r="AJ35" s="248"/>
      <c r="AK35" s="248"/>
      <c r="AL35" s="249"/>
      <c r="AM35" s="7"/>
    </row>
    <row r="36" spans="1:39" ht="113.25" customHeight="1" x14ac:dyDescent="0.3">
      <c r="A36" s="7" t="s">
        <v>99</v>
      </c>
      <c r="B36" s="62" t="s">
        <v>40</v>
      </c>
      <c r="C36" s="61" t="s">
        <v>100</v>
      </c>
      <c r="D36" s="7" t="s">
        <v>160</v>
      </c>
      <c r="E36" s="7" t="s">
        <v>154</v>
      </c>
      <c r="F36" s="7">
        <v>82121901</v>
      </c>
      <c r="G36" s="7" t="s">
        <v>161</v>
      </c>
      <c r="H36" s="7">
        <v>1</v>
      </c>
      <c r="I36" s="7">
        <v>1</v>
      </c>
      <c r="J36" s="7" t="s">
        <v>162</v>
      </c>
      <c r="K36" s="7">
        <v>0</v>
      </c>
      <c r="L36" s="7" t="s">
        <v>45</v>
      </c>
      <c r="M36" s="7" t="s">
        <v>46</v>
      </c>
      <c r="N36" s="156">
        <f>2496000*11.5</f>
        <v>28704000</v>
      </c>
      <c r="O36" s="7">
        <v>0</v>
      </c>
      <c r="P36" s="7">
        <v>0</v>
      </c>
      <c r="Q36" s="7" t="s">
        <v>47</v>
      </c>
      <c r="R36" s="7" t="s">
        <v>48</v>
      </c>
      <c r="S36" s="91" t="s">
        <v>49</v>
      </c>
      <c r="T36" s="91">
        <v>3846666</v>
      </c>
      <c r="U36" s="68" t="s">
        <v>50</v>
      </c>
      <c r="V36" s="7" t="s">
        <v>51</v>
      </c>
      <c r="W36" s="7" t="s">
        <v>73</v>
      </c>
      <c r="X36" s="7" t="s">
        <v>163</v>
      </c>
      <c r="Y36" s="7"/>
      <c r="Z36" s="7"/>
      <c r="AA36" s="263">
        <v>249600</v>
      </c>
      <c r="AB36" s="8">
        <f t="shared" si="0"/>
        <v>28454400</v>
      </c>
      <c r="AC36" s="180">
        <v>621</v>
      </c>
      <c r="AD36" s="181">
        <f>28704000-249600</f>
        <v>28454400</v>
      </c>
      <c r="AE36" s="181">
        <f t="shared" si="2"/>
        <v>0</v>
      </c>
      <c r="AF36" s="275">
        <v>921</v>
      </c>
      <c r="AG36" s="291">
        <v>44215</v>
      </c>
      <c r="AH36" s="276">
        <v>28454400</v>
      </c>
      <c r="AI36" s="276">
        <f t="shared" si="3"/>
        <v>0</v>
      </c>
      <c r="AJ36" s="275" t="s">
        <v>164</v>
      </c>
      <c r="AK36" s="275" t="s">
        <v>165</v>
      </c>
      <c r="AL36" s="184">
        <f>2496000+998400+2496000+2496000+2496000</f>
        <v>10982400</v>
      </c>
      <c r="AM36" s="7" t="s">
        <v>62</v>
      </c>
    </row>
    <row r="37" spans="1:39" ht="113.25" customHeight="1" x14ac:dyDescent="0.3">
      <c r="A37" s="7" t="s">
        <v>99</v>
      </c>
      <c r="B37" s="62" t="s">
        <v>40</v>
      </c>
      <c r="C37" s="61" t="s">
        <v>100</v>
      </c>
      <c r="D37" s="7" t="s">
        <v>160</v>
      </c>
      <c r="E37" s="7" t="s">
        <v>154</v>
      </c>
      <c r="F37" s="7">
        <v>82121901</v>
      </c>
      <c r="G37" s="7" t="s">
        <v>166</v>
      </c>
      <c r="H37" s="7">
        <v>1</v>
      </c>
      <c r="I37" s="7">
        <v>1</v>
      </c>
      <c r="J37" s="7" t="s">
        <v>162</v>
      </c>
      <c r="K37" s="7">
        <v>0</v>
      </c>
      <c r="L37" s="7" t="s">
        <v>45</v>
      </c>
      <c r="M37" s="7" t="s">
        <v>46</v>
      </c>
      <c r="N37" s="156">
        <f>2496000*11.5</f>
        <v>28704000</v>
      </c>
      <c r="O37" s="7">
        <v>0</v>
      </c>
      <c r="P37" s="7">
        <v>0</v>
      </c>
      <c r="Q37" s="7" t="s">
        <v>47</v>
      </c>
      <c r="R37" s="7" t="s">
        <v>48</v>
      </c>
      <c r="S37" s="91" t="s">
        <v>49</v>
      </c>
      <c r="T37" s="91">
        <v>3846666</v>
      </c>
      <c r="U37" s="68" t="s">
        <v>50</v>
      </c>
      <c r="V37" s="7" t="s">
        <v>51</v>
      </c>
      <c r="W37" s="7" t="s">
        <v>73</v>
      </c>
      <c r="X37" s="7" t="s">
        <v>163</v>
      </c>
      <c r="Y37" s="7"/>
      <c r="Z37" s="7"/>
      <c r="AA37" s="263">
        <v>249600</v>
      </c>
      <c r="AB37" s="8">
        <f t="shared" si="0"/>
        <v>28454400</v>
      </c>
      <c r="AC37" s="180">
        <v>721</v>
      </c>
      <c r="AD37" s="181">
        <f>28704000-249600</f>
        <v>28454400</v>
      </c>
      <c r="AE37" s="181">
        <f t="shared" si="2"/>
        <v>0</v>
      </c>
      <c r="AF37" s="275">
        <v>1021</v>
      </c>
      <c r="AG37" s="291">
        <v>44215</v>
      </c>
      <c r="AH37" s="276">
        <v>28454400</v>
      </c>
      <c r="AI37" s="276">
        <f t="shared" si="3"/>
        <v>0</v>
      </c>
      <c r="AJ37" s="275" t="s">
        <v>167</v>
      </c>
      <c r="AK37" s="275" t="s">
        <v>168</v>
      </c>
      <c r="AL37" s="184">
        <f>2496000+998400+2496000+2496000+2496000</f>
        <v>10982400</v>
      </c>
      <c r="AM37" s="7" t="s">
        <v>62</v>
      </c>
    </row>
    <row r="38" spans="1:39" ht="86.4" customHeight="1" x14ac:dyDescent="0.3">
      <c r="A38" s="7" t="s">
        <v>99</v>
      </c>
      <c r="B38" s="62" t="s">
        <v>40</v>
      </c>
      <c r="C38" s="61" t="s">
        <v>100</v>
      </c>
      <c r="D38" s="7" t="s">
        <v>160</v>
      </c>
      <c r="E38" s="7" t="s">
        <v>154</v>
      </c>
      <c r="F38" s="7">
        <v>82121901</v>
      </c>
      <c r="G38" s="7" t="s">
        <v>169</v>
      </c>
      <c r="H38" s="7">
        <v>1</v>
      </c>
      <c r="I38" s="7">
        <v>1</v>
      </c>
      <c r="J38" s="7">
        <v>11</v>
      </c>
      <c r="K38" s="7">
        <v>1</v>
      </c>
      <c r="L38" s="7" t="s">
        <v>45</v>
      </c>
      <c r="M38" s="7" t="s">
        <v>46</v>
      </c>
      <c r="N38" s="156">
        <f>1600000*11</f>
        <v>17600000</v>
      </c>
      <c r="O38" s="7">
        <v>0</v>
      </c>
      <c r="P38" s="7">
        <v>0</v>
      </c>
      <c r="Q38" s="7" t="s">
        <v>47</v>
      </c>
      <c r="R38" s="7" t="s">
        <v>48</v>
      </c>
      <c r="S38" s="91" t="s">
        <v>49</v>
      </c>
      <c r="T38" s="91">
        <v>3846666</v>
      </c>
      <c r="U38" s="68" t="s">
        <v>50</v>
      </c>
      <c r="V38" s="7" t="s">
        <v>51</v>
      </c>
      <c r="W38" s="7" t="s">
        <v>73</v>
      </c>
      <c r="X38" s="7" t="s">
        <v>163</v>
      </c>
      <c r="Y38" s="7"/>
      <c r="Z38" s="7"/>
      <c r="AA38" s="7"/>
      <c r="AB38" s="8">
        <f t="shared" si="0"/>
        <v>17600000</v>
      </c>
      <c r="AC38" s="180">
        <v>1821</v>
      </c>
      <c r="AD38" s="181">
        <v>17600000</v>
      </c>
      <c r="AE38" s="181">
        <f t="shared" si="2"/>
        <v>0</v>
      </c>
      <c r="AF38" s="275">
        <v>2921</v>
      </c>
      <c r="AG38" s="291">
        <v>44225</v>
      </c>
      <c r="AH38" s="276">
        <v>17600000</v>
      </c>
      <c r="AI38" s="276">
        <f t="shared" si="3"/>
        <v>0</v>
      </c>
      <c r="AJ38" s="275" t="s">
        <v>170</v>
      </c>
      <c r="AK38" s="275" t="s">
        <v>171</v>
      </c>
      <c r="AL38" s="184">
        <f>1600000+1600000+1600000+1600000</f>
        <v>6400000</v>
      </c>
      <c r="AM38" s="7"/>
    </row>
    <row r="39" spans="1:39" ht="113.25" customHeight="1" x14ac:dyDescent="0.3">
      <c r="A39" s="7" t="s">
        <v>99</v>
      </c>
      <c r="B39" s="62" t="s">
        <v>40</v>
      </c>
      <c r="C39" s="61" t="s">
        <v>100</v>
      </c>
      <c r="D39" s="7" t="s">
        <v>160</v>
      </c>
      <c r="E39" s="7" t="s">
        <v>154</v>
      </c>
      <c r="F39" s="7" t="s">
        <v>172</v>
      </c>
      <c r="G39" s="7" t="s">
        <v>173</v>
      </c>
      <c r="H39" s="7">
        <v>1</v>
      </c>
      <c r="I39" s="7">
        <v>1</v>
      </c>
      <c r="J39" s="7" t="s">
        <v>162</v>
      </c>
      <c r="K39" s="7">
        <v>0</v>
      </c>
      <c r="L39" s="7" t="s">
        <v>45</v>
      </c>
      <c r="M39" s="7" t="s">
        <v>46</v>
      </c>
      <c r="N39" s="156">
        <f>3130298*11.5</f>
        <v>35998427</v>
      </c>
      <c r="O39" s="7">
        <v>0</v>
      </c>
      <c r="P39" s="7">
        <v>0</v>
      </c>
      <c r="Q39" s="7" t="s">
        <v>47</v>
      </c>
      <c r="R39" s="7" t="s">
        <v>48</v>
      </c>
      <c r="S39" s="91" t="s">
        <v>49</v>
      </c>
      <c r="T39" s="91">
        <v>3846666</v>
      </c>
      <c r="U39" s="68" t="s">
        <v>50</v>
      </c>
      <c r="V39" s="7" t="s">
        <v>51</v>
      </c>
      <c r="W39" s="7" t="s">
        <v>52</v>
      </c>
      <c r="X39" s="7" t="s">
        <v>163</v>
      </c>
      <c r="Y39" s="7"/>
      <c r="Z39" s="7"/>
      <c r="AA39" s="263">
        <v>313030</v>
      </c>
      <c r="AB39" s="8">
        <f t="shared" si="0"/>
        <v>35685397</v>
      </c>
      <c r="AC39" s="180">
        <v>821</v>
      </c>
      <c r="AD39" s="181">
        <f>35998427-313030</f>
        <v>35685397</v>
      </c>
      <c r="AE39" s="181">
        <f t="shared" si="2"/>
        <v>0</v>
      </c>
      <c r="AF39" s="275">
        <v>1121</v>
      </c>
      <c r="AG39" s="291">
        <v>44215</v>
      </c>
      <c r="AH39" s="276">
        <v>35685397</v>
      </c>
      <c r="AI39" s="276">
        <f t="shared" si="3"/>
        <v>0</v>
      </c>
      <c r="AJ39" s="275" t="s">
        <v>174</v>
      </c>
      <c r="AK39" s="275" t="s">
        <v>175</v>
      </c>
      <c r="AL39" s="184">
        <f>3130298+1252119+3130298+3130298+3130298</f>
        <v>13773311</v>
      </c>
      <c r="AM39" s="7" t="s">
        <v>62</v>
      </c>
    </row>
    <row r="40" spans="1:39" ht="109.2" customHeight="1" x14ac:dyDescent="0.3">
      <c r="A40" s="7" t="s">
        <v>99</v>
      </c>
      <c r="B40" s="62" t="s">
        <v>40</v>
      </c>
      <c r="C40" s="61" t="s">
        <v>100</v>
      </c>
      <c r="D40" s="7" t="s">
        <v>160</v>
      </c>
      <c r="E40" s="7" t="s">
        <v>154</v>
      </c>
      <c r="F40" s="7" t="s">
        <v>176</v>
      </c>
      <c r="G40" s="7" t="s">
        <v>177</v>
      </c>
      <c r="H40" s="7">
        <v>1</v>
      </c>
      <c r="I40" s="7">
        <v>1</v>
      </c>
      <c r="J40" s="7">
        <v>11</v>
      </c>
      <c r="K40" s="7">
        <v>1</v>
      </c>
      <c r="L40" s="7" t="s">
        <v>45</v>
      </c>
      <c r="M40" s="7" t="s">
        <v>46</v>
      </c>
      <c r="N40" s="156">
        <f>2550000*11</f>
        <v>28050000</v>
      </c>
      <c r="O40" s="7">
        <v>0</v>
      </c>
      <c r="P40" s="7">
        <v>0</v>
      </c>
      <c r="Q40" s="7" t="s">
        <v>47</v>
      </c>
      <c r="R40" s="7" t="s">
        <v>48</v>
      </c>
      <c r="S40" s="91" t="s">
        <v>49</v>
      </c>
      <c r="T40" s="91">
        <v>3846666</v>
      </c>
      <c r="U40" s="68" t="s">
        <v>50</v>
      </c>
      <c r="V40" s="7" t="s">
        <v>51</v>
      </c>
      <c r="W40" s="7" t="s">
        <v>73</v>
      </c>
      <c r="X40" s="7" t="s">
        <v>163</v>
      </c>
      <c r="Y40" s="7"/>
      <c r="Z40" s="7"/>
      <c r="AA40" s="7"/>
      <c r="AB40" s="8">
        <f t="shared" si="0"/>
        <v>28050000</v>
      </c>
      <c r="AC40" s="180">
        <v>2021</v>
      </c>
      <c r="AD40" s="181">
        <v>28050000</v>
      </c>
      <c r="AE40" s="181">
        <f t="shared" si="2"/>
        <v>0</v>
      </c>
      <c r="AF40" s="275">
        <v>3021</v>
      </c>
      <c r="AG40" s="291">
        <v>44225</v>
      </c>
      <c r="AH40" s="276">
        <v>28050000</v>
      </c>
      <c r="AI40" s="276">
        <f t="shared" si="3"/>
        <v>0</v>
      </c>
      <c r="AJ40" s="275" t="s">
        <v>178</v>
      </c>
      <c r="AK40" s="275" t="s">
        <v>179</v>
      </c>
      <c r="AL40" s="184">
        <f>2550000+2550000+2550000+2550000</f>
        <v>10200000</v>
      </c>
      <c r="AM40" s="7"/>
    </row>
    <row r="41" spans="1:39" ht="113.25" customHeight="1" x14ac:dyDescent="0.3">
      <c r="A41" s="7" t="s">
        <v>99</v>
      </c>
      <c r="B41" s="62" t="s">
        <v>40</v>
      </c>
      <c r="C41" s="61" t="s">
        <v>100</v>
      </c>
      <c r="D41" s="7" t="s">
        <v>160</v>
      </c>
      <c r="E41" s="7" t="s">
        <v>154</v>
      </c>
      <c r="F41" s="7" t="s">
        <v>176</v>
      </c>
      <c r="G41" s="7" t="s">
        <v>180</v>
      </c>
      <c r="H41" s="7">
        <v>1</v>
      </c>
      <c r="I41" s="7">
        <v>1</v>
      </c>
      <c r="J41" s="7" t="s">
        <v>162</v>
      </c>
      <c r="K41" s="7">
        <v>0</v>
      </c>
      <c r="L41" s="7" t="s">
        <v>45</v>
      </c>
      <c r="M41" s="7" t="s">
        <v>46</v>
      </c>
      <c r="N41" s="156">
        <f>3031580*11.5</f>
        <v>34863170</v>
      </c>
      <c r="O41" s="7">
        <v>0</v>
      </c>
      <c r="P41" s="7">
        <v>0</v>
      </c>
      <c r="Q41" s="7" t="s">
        <v>47</v>
      </c>
      <c r="R41" s="7" t="s">
        <v>48</v>
      </c>
      <c r="S41" s="91" t="s">
        <v>49</v>
      </c>
      <c r="T41" s="91">
        <v>3846666</v>
      </c>
      <c r="U41" s="68" t="s">
        <v>50</v>
      </c>
      <c r="V41" s="7" t="s">
        <v>51</v>
      </c>
      <c r="W41" s="7" t="s">
        <v>52</v>
      </c>
      <c r="X41" s="7" t="s">
        <v>163</v>
      </c>
      <c r="Y41" s="7"/>
      <c r="Z41" s="7"/>
      <c r="AA41" s="263">
        <v>303158</v>
      </c>
      <c r="AB41" s="8">
        <f t="shared" ref="AB41:AB75" si="8">+N41+Y41+Z41-AA41</f>
        <v>34560012</v>
      </c>
      <c r="AC41" s="180">
        <v>521</v>
      </c>
      <c r="AD41" s="181">
        <f>34863170-303158</f>
        <v>34560012</v>
      </c>
      <c r="AE41" s="181">
        <f t="shared" si="2"/>
        <v>0</v>
      </c>
      <c r="AF41" s="275">
        <v>821</v>
      </c>
      <c r="AG41" s="291">
        <v>44215</v>
      </c>
      <c r="AH41" s="276">
        <v>34560012</v>
      </c>
      <c r="AI41" s="276">
        <f t="shared" si="3"/>
        <v>0</v>
      </c>
      <c r="AJ41" s="275" t="s">
        <v>181</v>
      </c>
      <c r="AK41" s="275" t="s">
        <v>182</v>
      </c>
      <c r="AL41" s="184">
        <f>3031580+1212632+3031580+2526317+505263+3031580</f>
        <v>13338952</v>
      </c>
      <c r="AM41" s="7" t="s">
        <v>62</v>
      </c>
    </row>
    <row r="42" spans="1:39" ht="113.25" customHeight="1" x14ac:dyDescent="0.3">
      <c r="A42" s="7" t="s">
        <v>99</v>
      </c>
      <c r="B42" s="62" t="s">
        <v>40</v>
      </c>
      <c r="C42" s="61" t="s">
        <v>100</v>
      </c>
      <c r="D42" s="7" t="s">
        <v>160</v>
      </c>
      <c r="E42" s="7" t="s">
        <v>154</v>
      </c>
      <c r="F42" s="7">
        <v>82121901</v>
      </c>
      <c r="G42" s="7" t="s">
        <v>183</v>
      </c>
      <c r="H42" s="7">
        <v>7</v>
      </c>
      <c r="I42" s="7">
        <v>7</v>
      </c>
      <c r="J42" s="7">
        <v>1</v>
      </c>
      <c r="K42" s="7">
        <v>1</v>
      </c>
      <c r="L42" s="7" t="s">
        <v>45</v>
      </c>
      <c r="M42" s="7" t="s">
        <v>46</v>
      </c>
      <c r="N42" s="156">
        <f>1600000*6</f>
        <v>9600000</v>
      </c>
      <c r="O42" s="7">
        <v>0</v>
      </c>
      <c r="P42" s="7">
        <v>0</v>
      </c>
      <c r="Q42" s="7" t="s">
        <v>47</v>
      </c>
      <c r="R42" s="7" t="s">
        <v>48</v>
      </c>
      <c r="S42" s="91" t="s">
        <v>49</v>
      </c>
      <c r="T42" s="91">
        <v>3846666</v>
      </c>
      <c r="U42" s="68" t="s">
        <v>50</v>
      </c>
      <c r="V42" s="7" t="s">
        <v>51</v>
      </c>
      <c r="W42" s="7" t="s">
        <v>73</v>
      </c>
      <c r="X42" s="7" t="s">
        <v>163</v>
      </c>
      <c r="Y42" s="7"/>
      <c r="Z42" s="7"/>
      <c r="AA42" s="7"/>
      <c r="AB42" s="8">
        <f t="shared" si="8"/>
        <v>9600000</v>
      </c>
      <c r="AC42" s="248"/>
      <c r="AD42" s="249"/>
      <c r="AE42" s="249">
        <f t="shared" si="2"/>
        <v>9600000</v>
      </c>
      <c r="AF42" s="248"/>
      <c r="AG42" s="248"/>
      <c r="AH42" s="249"/>
      <c r="AI42" s="179">
        <f t="shared" si="3"/>
        <v>9600000</v>
      </c>
      <c r="AJ42" s="248"/>
      <c r="AK42" s="248"/>
      <c r="AL42" s="249"/>
      <c r="AM42" s="7"/>
    </row>
    <row r="43" spans="1:39" ht="113.25" customHeight="1" x14ac:dyDescent="0.3">
      <c r="A43" s="7" t="s">
        <v>99</v>
      </c>
      <c r="B43" s="62" t="s">
        <v>40</v>
      </c>
      <c r="C43" s="61" t="s">
        <v>100</v>
      </c>
      <c r="D43" s="7" t="s">
        <v>160</v>
      </c>
      <c r="E43" s="7" t="s">
        <v>154</v>
      </c>
      <c r="F43" s="7">
        <v>14121904</v>
      </c>
      <c r="G43" s="7" t="s">
        <v>184</v>
      </c>
      <c r="H43" s="7">
        <v>6</v>
      </c>
      <c r="I43" s="7">
        <v>7</v>
      </c>
      <c r="J43" s="7">
        <v>3</v>
      </c>
      <c r="K43" s="7">
        <v>1</v>
      </c>
      <c r="L43" s="7" t="s">
        <v>157</v>
      </c>
      <c r="M43" s="7" t="s">
        <v>46</v>
      </c>
      <c r="N43" s="156">
        <f>50591634-21700000</f>
        <v>28891634</v>
      </c>
      <c r="O43" s="7">
        <v>0</v>
      </c>
      <c r="P43" s="7">
        <v>0</v>
      </c>
      <c r="Q43" s="7" t="s">
        <v>47</v>
      </c>
      <c r="R43" s="7" t="s">
        <v>48</v>
      </c>
      <c r="S43" s="91" t="s">
        <v>49</v>
      </c>
      <c r="T43" s="91">
        <v>3846666</v>
      </c>
      <c r="U43" s="68" t="s">
        <v>50</v>
      </c>
      <c r="V43" s="7" t="s">
        <v>51</v>
      </c>
      <c r="W43" s="7" t="s">
        <v>158</v>
      </c>
      <c r="X43" s="7" t="s">
        <v>163</v>
      </c>
      <c r="Y43" s="7"/>
      <c r="Z43" s="7"/>
      <c r="AA43" s="7"/>
      <c r="AB43" s="8">
        <f t="shared" si="8"/>
        <v>28891634</v>
      </c>
      <c r="AC43" s="248"/>
      <c r="AD43" s="249"/>
      <c r="AE43" s="249">
        <f t="shared" si="2"/>
        <v>28891634</v>
      </c>
      <c r="AF43" s="248"/>
      <c r="AG43" s="248"/>
      <c r="AH43" s="249"/>
      <c r="AI43" s="179">
        <f t="shared" si="3"/>
        <v>28891634</v>
      </c>
      <c r="AJ43" s="248"/>
      <c r="AK43" s="248"/>
      <c r="AL43" s="249"/>
      <c r="AM43" s="7"/>
    </row>
    <row r="44" spans="1:39" ht="113.25" customHeight="1" x14ac:dyDescent="0.3">
      <c r="A44" s="7" t="s">
        <v>99</v>
      </c>
      <c r="B44" s="62" t="s">
        <v>40</v>
      </c>
      <c r="C44" s="61" t="s">
        <v>100</v>
      </c>
      <c r="D44" s="7" t="s">
        <v>160</v>
      </c>
      <c r="E44" s="7" t="s">
        <v>154</v>
      </c>
      <c r="F44" s="7" t="s">
        <v>185</v>
      </c>
      <c r="G44" s="7" t="s">
        <v>186</v>
      </c>
      <c r="H44" s="7">
        <v>2</v>
      </c>
      <c r="I44" s="7">
        <v>2</v>
      </c>
      <c r="J44" s="7">
        <v>2</v>
      </c>
      <c r="K44" s="7">
        <v>1</v>
      </c>
      <c r="L44" s="7" t="s">
        <v>157</v>
      </c>
      <c r="M44" s="7" t="s">
        <v>46</v>
      </c>
      <c r="N44" s="156">
        <v>45000000</v>
      </c>
      <c r="O44" s="7">
        <v>0</v>
      </c>
      <c r="P44" s="7">
        <v>0</v>
      </c>
      <c r="Q44" s="7" t="s">
        <v>47</v>
      </c>
      <c r="R44" s="7" t="s">
        <v>48</v>
      </c>
      <c r="S44" s="91" t="s">
        <v>49</v>
      </c>
      <c r="T44" s="91">
        <v>3846666</v>
      </c>
      <c r="U44" s="68" t="s">
        <v>50</v>
      </c>
      <c r="V44" s="7" t="s">
        <v>51</v>
      </c>
      <c r="W44" s="7" t="s">
        <v>158</v>
      </c>
      <c r="X44" s="7" t="s">
        <v>163</v>
      </c>
      <c r="Y44" s="7"/>
      <c r="Z44" s="7"/>
      <c r="AA44" s="7"/>
      <c r="AB44" s="8">
        <f t="shared" si="8"/>
        <v>45000000</v>
      </c>
      <c r="AC44" s="248"/>
      <c r="AD44" s="249"/>
      <c r="AE44" s="249">
        <f t="shared" si="2"/>
        <v>45000000</v>
      </c>
      <c r="AF44" s="248"/>
      <c r="AG44" s="248"/>
      <c r="AH44" s="249"/>
      <c r="AI44" s="179">
        <f t="shared" si="3"/>
        <v>45000000</v>
      </c>
      <c r="AJ44" s="248"/>
      <c r="AK44" s="248"/>
      <c r="AL44" s="249"/>
      <c r="AM44" s="7"/>
    </row>
    <row r="45" spans="1:39" ht="113.25" customHeight="1" x14ac:dyDescent="0.3">
      <c r="A45" s="7" t="s">
        <v>99</v>
      </c>
      <c r="B45" s="62" t="s">
        <v>40</v>
      </c>
      <c r="C45" s="61" t="s">
        <v>100</v>
      </c>
      <c r="D45" s="7" t="s">
        <v>160</v>
      </c>
      <c r="E45" s="7" t="s">
        <v>154</v>
      </c>
      <c r="F45" s="7" t="s">
        <v>187</v>
      </c>
      <c r="G45" s="7" t="s">
        <v>188</v>
      </c>
      <c r="H45" s="7">
        <v>2</v>
      </c>
      <c r="I45" s="7">
        <v>2</v>
      </c>
      <c r="J45" s="7">
        <v>10</v>
      </c>
      <c r="K45" s="7">
        <v>1</v>
      </c>
      <c r="L45" s="7" t="s">
        <v>189</v>
      </c>
      <c r="M45" s="7" t="s">
        <v>46</v>
      </c>
      <c r="N45" s="156">
        <v>4000000</v>
      </c>
      <c r="O45" s="7">
        <v>0</v>
      </c>
      <c r="P45" s="7">
        <v>0</v>
      </c>
      <c r="Q45" s="7" t="s">
        <v>47</v>
      </c>
      <c r="R45" s="7" t="s">
        <v>48</v>
      </c>
      <c r="S45" s="91" t="s">
        <v>49</v>
      </c>
      <c r="T45" s="91">
        <v>3846666</v>
      </c>
      <c r="U45" s="68" t="s">
        <v>50</v>
      </c>
      <c r="V45" s="7" t="s">
        <v>51</v>
      </c>
      <c r="W45" s="7" t="s">
        <v>86</v>
      </c>
      <c r="X45" s="7" t="s">
        <v>163</v>
      </c>
      <c r="Y45" s="7"/>
      <c r="Z45" s="7"/>
      <c r="AA45" s="7"/>
      <c r="AB45" s="8">
        <f t="shared" si="8"/>
        <v>4000000</v>
      </c>
      <c r="AC45" s="248"/>
      <c r="AD45" s="249"/>
      <c r="AE45" s="249">
        <f t="shared" si="2"/>
        <v>4000000</v>
      </c>
      <c r="AF45" s="248"/>
      <c r="AG45" s="248"/>
      <c r="AH45" s="249"/>
      <c r="AI45" s="179">
        <f t="shared" si="3"/>
        <v>4000000</v>
      </c>
      <c r="AJ45" s="248"/>
      <c r="AK45" s="248"/>
      <c r="AL45" s="249"/>
      <c r="AM45" s="7"/>
    </row>
    <row r="46" spans="1:39" ht="113.25" customHeight="1" x14ac:dyDescent="0.3">
      <c r="A46" s="7" t="s">
        <v>99</v>
      </c>
      <c r="B46" s="62" t="s">
        <v>40</v>
      </c>
      <c r="C46" s="61" t="s">
        <v>100</v>
      </c>
      <c r="D46" s="7" t="s">
        <v>160</v>
      </c>
      <c r="E46" s="7" t="s">
        <v>154</v>
      </c>
      <c r="F46" s="7" t="s">
        <v>190</v>
      </c>
      <c r="G46" s="7" t="s">
        <v>191</v>
      </c>
      <c r="H46" s="7">
        <v>6</v>
      </c>
      <c r="I46" s="7">
        <v>7</v>
      </c>
      <c r="J46" s="7">
        <v>5</v>
      </c>
      <c r="K46" s="7">
        <v>1</v>
      </c>
      <c r="L46" s="7" t="s">
        <v>45</v>
      </c>
      <c r="M46" s="7" t="s">
        <v>46</v>
      </c>
      <c r="N46" s="156">
        <f>52000000-7094336</f>
        <v>44905664</v>
      </c>
      <c r="O46" s="7">
        <v>0</v>
      </c>
      <c r="P46" s="7">
        <v>0</v>
      </c>
      <c r="Q46" s="7" t="s">
        <v>47</v>
      </c>
      <c r="R46" s="7" t="s">
        <v>48</v>
      </c>
      <c r="S46" s="91" t="s">
        <v>49</v>
      </c>
      <c r="T46" s="91">
        <v>3846666</v>
      </c>
      <c r="U46" s="68" t="s">
        <v>50</v>
      </c>
      <c r="V46" s="7" t="s">
        <v>51</v>
      </c>
      <c r="W46" s="7" t="s">
        <v>86</v>
      </c>
      <c r="X46" s="7" t="s">
        <v>163</v>
      </c>
      <c r="Y46" s="7"/>
      <c r="Z46" s="7"/>
      <c r="AA46" s="7"/>
      <c r="AB46" s="8">
        <f t="shared" si="8"/>
        <v>44905664</v>
      </c>
      <c r="AC46" s="248"/>
      <c r="AD46" s="249"/>
      <c r="AE46" s="249">
        <f t="shared" si="2"/>
        <v>44905664</v>
      </c>
      <c r="AF46" s="248"/>
      <c r="AG46" s="248"/>
      <c r="AH46" s="249"/>
      <c r="AI46" s="179">
        <f t="shared" si="3"/>
        <v>44905664</v>
      </c>
      <c r="AJ46" s="248"/>
      <c r="AK46" s="248"/>
      <c r="AL46" s="249"/>
      <c r="AM46" s="7"/>
    </row>
    <row r="47" spans="1:39" ht="113.25" customHeight="1" x14ac:dyDescent="0.3">
      <c r="A47" s="7" t="s">
        <v>99</v>
      </c>
      <c r="B47" s="62" t="s">
        <v>40</v>
      </c>
      <c r="C47" s="61" t="s">
        <v>100</v>
      </c>
      <c r="D47" s="7" t="s">
        <v>160</v>
      </c>
      <c r="E47" s="7" t="s">
        <v>154</v>
      </c>
      <c r="F47" s="7" t="s">
        <v>192</v>
      </c>
      <c r="G47" s="7" t="s">
        <v>191</v>
      </c>
      <c r="H47" s="7">
        <v>6</v>
      </c>
      <c r="I47" s="7">
        <v>7</v>
      </c>
      <c r="J47" s="7">
        <v>5</v>
      </c>
      <c r="K47" s="7">
        <v>1</v>
      </c>
      <c r="L47" s="7" t="s">
        <v>45</v>
      </c>
      <c r="M47" s="7" t="s">
        <v>121</v>
      </c>
      <c r="N47" s="156">
        <v>7094336</v>
      </c>
      <c r="O47" s="7">
        <v>0</v>
      </c>
      <c r="P47" s="7">
        <v>0</v>
      </c>
      <c r="Q47" s="7" t="s">
        <v>47</v>
      </c>
      <c r="R47" s="7" t="s">
        <v>48</v>
      </c>
      <c r="S47" s="91" t="s">
        <v>49</v>
      </c>
      <c r="T47" s="91">
        <v>3846666</v>
      </c>
      <c r="U47" s="68" t="s">
        <v>50</v>
      </c>
      <c r="V47" s="7" t="s">
        <v>51</v>
      </c>
      <c r="W47" s="7" t="s">
        <v>86</v>
      </c>
      <c r="X47" s="7" t="s">
        <v>163</v>
      </c>
      <c r="Y47" s="7"/>
      <c r="Z47" s="7"/>
      <c r="AA47" s="7"/>
      <c r="AB47" s="8">
        <f t="shared" si="8"/>
        <v>7094336</v>
      </c>
      <c r="AC47" s="248"/>
      <c r="AD47" s="249"/>
      <c r="AE47" s="249">
        <f t="shared" si="2"/>
        <v>7094336</v>
      </c>
      <c r="AF47" s="248"/>
      <c r="AG47" s="248"/>
      <c r="AH47" s="249"/>
      <c r="AI47" s="179">
        <f t="shared" si="3"/>
        <v>7094336</v>
      </c>
      <c r="AJ47" s="248"/>
      <c r="AK47" s="248"/>
      <c r="AL47" s="249"/>
      <c r="AM47" s="7"/>
    </row>
    <row r="48" spans="1:39" ht="113.25" customHeight="1" x14ac:dyDescent="0.3">
      <c r="A48" s="7" t="s">
        <v>99</v>
      </c>
      <c r="B48" s="62" t="s">
        <v>40</v>
      </c>
      <c r="C48" s="61" t="s">
        <v>100</v>
      </c>
      <c r="D48" s="7" t="s">
        <v>160</v>
      </c>
      <c r="E48" s="7" t="s">
        <v>154</v>
      </c>
      <c r="F48" s="7" t="s">
        <v>192</v>
      </c>
      <c r="G48" s="7" t="s">
        <v>193</v>
      </c>
      <c r="H48" s="7">
        <v>2</v>
      </c>
      <c r="I48" s="7">
        <v>3</v>
      </c>
      <c r="J48" s="7">
        <v>8</v>
      </c>
      <c r="K48" s="7">
        <v>1</v>
      </c>
      <c r="L48" s="7" t="s">
        <v>189</v>
      </c>
      <c r="M48" s="7" t="s">
        <v>46</v>
      </c>
      <c r="N48" s="156">
        <v>18000000</v>
      </c>
      <c r="O48" s="7">
        <v>0</v>
      </c>
      <c r="P48" s="7">
        <v>0</v>
      </c>
      <c r="Q48" s="7" t="s">
        <v>47</v>
      </c>
      <c r="R48" s="7" t="s">
        <v>48</v>
      </c>
      <c r="S48" s="91" t="s">
        <v>49</v>
      </c>
      <c r="T48" s="91">
        <v>3846666</v>
      </c>
      <c r="U48" s="68" t="s">
        <v>50</v>
      </c>
      <c r="V48" s="7" t="s">
        <v>51</v>
      </c>
      <c r="W48" s="7" t="s">
        <v>86</v>
      </c>
      <c r="X48" s="7" t="s">
        <v>163</v>
      </c>
      <c r="Y48" s="7"/>
      <c r="Z48" s="7"/>
      <c r="AA48" s="7"/>
      <c r="AB48" s="8">
        <f t="shared" si="8"/>
        <v>18000000</v>
      </c>
      <c r="AC48" s="248"/>
      <c r="AD48" s="249"/>
      <c r="AE48" s="249">
        <f t="shared" si="2"/>
        <v>18000000</v>
      </c>
      <c r="AF48" s="248"/>
      <c r="AG48" s="248"/>
      <c r="AH48" s="249"/>
      <c r="AI48" s="179">
        <f t="shared" si="3"/>
        <v>18000000</v>
      </c>
      <c r="AJ48" s="248"/>
      <c r="AK48" s="248"/>
      <c r="AL48" s="249"/>
      <c r="AM48" s="7"/>
    </row>
    <row r="49" spans="1:39" ht="113.25" customHeight="1" x14ac:dyDescent="0.3">
      <c r="A49" s="7" t="s">
        <v>99</v>
      </c>
      <c r="B49" s="62" t="s">
        <v>40</v>
      </c>
      <c r="C49" s="61" t="s">
        <v>100</v>
      </c>
      <c r="D49" s="7" t="s">
        <v>160</v>
      </c>
      <c r="E49" s="7" t="s">
        <v>154</v>
      </c>
      <c r="F49" s="7" t="s">
        <v>192</v>
      </c>
      <c r="G49" s="7" t="s">
        <v>194</v>
      </c>
      <c r="H49" s="7">
        <v>2</v>
      </c>
      <c r="I49" s="7">
        <v>3</v>
      </c>
      <c r="J49" s="7">
        <v>8</v>
      </c>
      <c r="K49" s="7">
        <v>1</v>
      </c>
      <c r="L49" s="7" t="s">
        <v>189</v>
      </c>
      <c r="M49" s="7" t="s">
        <v>46</v>
      </c>
      <c r="N49" s="156">
        <v>14000000</v>
      </c>
      <c r="O49" s="7">
        <v>0</v>
      </c>
      <c r="P49" s="7">
        <v>0</v>
      </c>
      <c r="Q49" s="7" t="s">
        <v>47</v>
      </c>
      <c r="R49" s="7" t="s">
        <v>48</v>
      </c>
      <c r="S49" s="91" t="s">
        <v>49</v>
      </c>
      <c r="T49" s="91">
        <v>3846666</v>
      </c>
      <c r="U49" s="68" t="s">
        <v>50</v>
      </c>
      <c r="V49" s="7" t="s">
        <v>51</v>
      </c>
      <c r="W49" s="7" t="s">
        <v>86</v>
      </c>
      <c r="X49" s="7" t="s">
        <v>163</v>
      </c>
      <c r="Y49" s="7"/>
      <c r="Z49" s="7"/>
      <c r="AA49" s="7"/>
      <c r="AB49" s="8">
        <f t="shared" si="8"/>
        <v>14000000</v>
      </c>
      <c r="AC49" s="248"/>
      <c r="AD49" s="249"/>
      <c r="AE49" s="249">
        <f t="shared" si="2"/>
        <v>14000000</v>
      </c>
      <c r="AF49" s="248"/>
      <c r="AG49" s="248"/>
      <c r="AH49" s="249"/>
      <c r="AI49" s="179">
        <f t="shared" si="3"/>
        <v>14000000</v>
      </c>
      <c r="AJ49" s="248"/>
      <c r="AK49" s="248"/>
      <c r="AL49" s="249"/>
      <c r="AM49" s="7"/>
    </row>
    <row r="50" spans="1:39" ht="113.25" customHeight="1" x14ac:dyDescent="0.3">
      <c r="A50" s="7" t="s">
        <v>99</v>
      </c>
      <c r="B50" s="62" t="s">
        <v>40</v>
      </c>
      <c r="C50" s="61" t="s">
        <v>100</v>
      </c>
      <c r="D50" s="7" t="s">
        <v>160</v>
      </c>
      <c r="E50" s="7" t="s">
        <v>154</v>
      </c>
      <c r="F50" s="7" t="s">
        <v>192</v>
      </c>
      <c r="G50" s="7" t="s">
        <v>195</v>
      </c>
      <c r="H50" s="7">
        <v>2</v>
      </c>
      <c r="I50" s="7">
        <v>3</v>
      </c>
      <c r="J50" s="7">
        <v>8</v>
      </c>
      <c r="K50" s="7">
        <v>1</v>
      </c>
      <c r="L50" s="7" t="s">
        <v>189</v>
      </c>
      <c r="M50" s="7" t="s">
        <v>46</v>
      </c>
      <c r="N50" s="156">
        <v>10000000</v>
      </c>
      <c r="O50" s="7">
        <v>0</v>
      </c>
      <c r="P50" s="7">
        <v>0</v>
      </c>
      <c r="Q50" s="7" t="s">
        <v>47</v>
      </c>
      <c r="R50" s="7" t="s">
        <v>48</v>
      </c>
      <c r="S50" s="91" t="s">
        <v>49</v>
      </c>
      <c r="T50" s="91">
        <v>3846666</v>
      </c>
      <c r="U50" s="68" t="s">
        <v>50</v>
      </c>
      <c r="V50" s="7" t="s">
        <v>51</v>
      </c>
      <c r="W50" s="7" t="s">
        <v>86</v>
      </c>
      <c r="X50" s="7" t="s">
        <v>163</v>
      </c>
      <c r="Y50" s="7"/>
      <c r="Z50" s="7"/>
      <c r="AA50" s="7"/>
      <c r="AB50" s="8">
        <f t="shared" si="8"/>
        <v>10000000</v>
      </c>
      <c r="AC50" s="248"/>
      <c r="AD50" s="249"/>
      <c r="AE50" s="249">
        <f t="shared" si="2"/>
        <v>10000000</v>
      </c>
      <c r="AF50" s="248"/>
      <c r="AG50" s="248"/>
      <c r="AH50" s="249"/>
      <c r="AI50" s="179">
        <f t="shared" si="3"/>
        <v>10000000</v>
      </c>
      <c r="AJ50" s="248"/>
      <c r="AK50" s="248"/>
      <c r="AL50" s="249"/>
      <c r="AM50" s="7"/>
    </row>
    <row r="51" spans="1:39" ht="113.25" customHeight="1" x14ac:dyDescent="0.3">
      <c r="A51" s="7" t="s">
        <v>99</v>
      </c>
      <c r="B51" s="62" t="s">
        <v>40</v>
      </c>
      <c r="C51" s="61" t="s">
        <v>100</v>
      </c>
      <c r="D51" s="7" t="s">
        <v>160</v>
      </c>
      <c r="E51" s="7" t="s">
        <v>154</v>
      </c>
      <c r="F51" s="7" t="s">
        <v>192</v>
      </c>
      <c r="G51" s="7" t="s">
        <v>196</v>
      </c>
      <c r="H51" s="7">
        <v>2</v>
      </c>
      <c r="I51" s="7">
        <v>3</v>
      </c>
      <c r="J51" s="7">
        <v>8</v>
      </c>
      <c r="K51" s="7">
        <v>1</v>
      </c>
      <c r="L51" s="7" t="s">
        <v>189</v>
      </c>
      <c r="M51" s="7" t="s">
        <v>46</v>
      </c>
      <c r="N51" s="156">
        <v>6000000</v>
      </c>
      <c r="O51" s="7">
        <v>0</v>
      </c>
      <c r="P51" s="7">
        <v>0</v>
      </c>
      <c r="Q51" s="7" t="s">
        <v>47</v>
      </c>
      <c r="R51" s="7" t="s">
        <v>48</v>
      </c>
      <c r="S51" s="91" t="s">
        <v>49</v>
      </c>
      <c r="T51" s="91">
        <v>3846666</v>
      </c>
      <c r="U51" s="68" t="s">
        <v>50</v>
      </c>
      <c r="V51" s="7" t="s">
        <v>51</v>
      </c>
      <c r="W51" s="7" t="s">
        <v>86</v>
      </c>
      <c r="X51" s="7" t="s">
        <v>163</v>
      </c>
      <c r="Y51" s="7"/>
      <c r="Z51" s="7"/>
      <c r="AA51" s="7"/>
      <c r="AB51" s="8">
        <f t="shared" si="8"/>
        <v>6000000</v>
      </c>
      <c r="AC51" s="248"/>
      <c r="AD51" s="249"/>
      <c r="AE51" s="249">
        <f t="shared" si="2"/>
        <v>6000000</v>
      </c>
      <c r="AF51" s="248"/>
      <c r="AG51" s="248"/>
      <c r="AH51" s="249"/>
      <c r="AI51" s="179">
        <f t="shared" si="3"/>
        <v>6000000</v>
      </c>
      <c r="AJ51" s="248"/>
      <c r="AK51" s="248"/>
      <c r="AL51" s="249"/>
      <c r="AM51" s="7"/>
    </row>
    <row r="52" spans="1:39" ht="113.25" customHeight="1" x14ac:dyDescent="0.3">
      <c r="A52" s="7" t="s">
        <v>99</v>
      </c>
      <c r="B52" s="62" t="s">
        <v>40</v>
      </c>
      <c r="C52" s="61" t="s">
        <v>100</v>
      </c>
      <c r="D52" s="7" t="s">
        <v>160</v>
      </c>
      <c r="E52" s="7" t="s">
        <v>154</v>
      </c>
      <c r="F52" s="7" t="s">
        <v>197</v>
      </c>
      <c r="G52" s="7" t="s">
        <v>198</v>
      </c>
      <c r="H52" s="7">
        <v>3</v>
      </c>
      <c r="I52" s="7">
        <v>4</v>
      </c>
      <c r="J52" s="7">
        <v>3</v>
      </c>
      <c r="K52" s="7">
        <v>1</v>
      </c>
      <c r="L52" s="7" t="s">
        <v>189</v>
      </c>
      <c r="M52" s="7" t="s">
        <v>46</v>
      </c>
      <c r="N52" s="156">
        <v>14700000</v>
      </c>
      <c r="O52" s="7">
        <v>0</v>
      </c>
      <c r="P52" s="7">
        <v>0</v>
      </c>
      <c r="Q52" s="7" t="s">
        <v>47</v>
      </c>
      <c r="R52" s="7" t="s">
        <v>48</v>
      </c>
      <c r="S52" s="91" t="s">
        <v>49</v>
      </c>
      <c r="T52" s="91">
        <v>3846666</v>
      </c>
      <c r="U52" s="68" t="s">
        <v>50</v>
      </c>
      <c r="V52" s="7" t="s">
        <v>51</v>
      </c>
      <c r="W52" s="7" t="s">
        <v>199</v>
      </c>
      <c r="X52" s="7" t="s">
        <v>163</v>
      </c>
      <c r="Y52" s="7"/>
      <c r="Z52" s="7"/>
      <c r="AA52" s="7"/>
      <c r="AB52" s="8">
        <f t="shared" ref="AB52:AB53" si="9">+N52+Y52+Z52-AA52</f>
        <v>14700000</v>
      </c>
      <c r="AC52" s="248"/>
      <c r="AD52" s="249"/>
      <c r="AE52" s="249">
        <f t="shared" si="2"/>
        <v>14700000</v>
      </c>
      <c r="AF52" s="248"/>
      <c r="AG52" s="248"/>
      <c r="AH52" s="249"/>
      <c r="AI52" s="179">
        <f t="shared" si="3"/>
        <v>14700000</v>
      </c>
      <c r="AJ52" s="248"/>
      <c r="AK52" s="248"/>
      <c r="AL52" s="249"/>
      <c r="AM52" s="7"/>
    </row>
    <row r="53" spans="1:39" ht="113.25" customHeight="1" x14ac:dyDescent="0.3">
      <c r="A53" s="7" t="s">
        <v>99</v>
      </c>
      <c r="B53" s="62" t="s">
        <v>40</v>
      </c>
      <c r="C53" s="61" t="s">
        <v>100</v>
      </c>
      <c r="D53" s="7" t="s">
        <v>160</v>
      </c>
      <c r="E53" s="7" t="s">
        <v>154</v>
      </c>
      <c r="F53" s="7" t="s">
        <v>200</v>
      </c>
      <c r="G53" s="7" t="s">
        <v>201</v>
      </c>
      <c r="H53" s="7">
        <v>3</v>
      </c>
      <c r="I53" s="7">
        <v>4</v>
      </c>
      <c r="J53" s="7">
        <v>2</v>
      </c>
      <c r="K53" s="7">
        <v>1</v>
      </c>
      <c r="L53" s="7" t="s">
        <v>189</v>
      </c>
      <c r="M53" s="7" t="s">
        <v>46</v>
      </c>
      <c r="N53" s="156">
        <v>7000000</v>
      </c>
      <c r="O53" s="7">
        <v>0</v>
      </c>
      <c r="P53" s="7">
        <v>0</v>
      </c>
      <c r="Q53" s="7" t="s">
        <v>47</v>
      </c>
      <c r="R53" s="7" t="s">
        <v>48</v>
      </c>
      <c r="S53" s="91" t="s">
        <v>49</v>
      </c>
      <c r="T53" s="91">
        <v>3846666</v>
      </c>
      <c r="U53" s="68" t="s">
        <v>50</v>
      </c>
      <c r="V53" s="7" t="s">
        <v>51</v>
      </c>
      <c r="W53" s="7" t="s">
        <v>199</v>
      </c>
      <c r="X53" s="7" t="s">
        <v>163</v>
      </c>
      <c r="Y53" s="7"/>
      <c r="Z53" s="7"/>
      <c r="AA53" s="7"/>
      <c r="AB53" s="8">
        <f t="shared" si="9"/>
        <v>7000000</v>
      </c>
      <c r="AC53" s="248"/>
      <c r="AD53" s="249"/>
      <c r="AE53" s="249">
        <f t="shared" si="2"/>
        <v>7000000</v>
      </c>
      <c r="AF53" s="248"/>
      <c r="AG53" s="248"/>
      <c r="AH53" s="249"/>
      <c r="AI53" s="179">
        <f t="shared" si="3"/>
        <v>7000000</v>
      </c>
      <c r="AJ53" s="248"/>
      <c r="AK53" s="248"/>
      <c r="AL53" s="249"/>
      <c r="AM53" s="7"/>
    </row>
    <row r="54" spans="1:39" ht="113.25" customHeight="1" x14ac:dyDescent="0.3">
      <c r="A54" s="7" t="s">
        <v>202</v>
      </c>
      <c r="B54" s="62" t="s">
        <v>40</v>
      </c>
      <c r="C54" s="145" t="s">
        <v>203</v>
      </c>
      <c r="D54" s="7" t="s">
        <v>204</v>
      </c>
      <c r="E54" s="7" t="s">
        <v>43</v>
      </c>
      <c r="F54" s="7" t="s">
        <v>205</v>
      </c>
      <c r="G54" s="91" t="s">
        <v>206</v>
      </c>
      <c r="H54" s="91">
        <v>2</v>
      </c>
      <c r="I54" s="91">
        <v>3</v>
      </c>
      <c r="J54" s="91">
        <v>6</v>
      </c>
      <c r="K54" s="91">
        <v>1</v>
      </c>
      <c r="L54" s="91" t="s">
        <v>189</v>
      </c>
      <c r="M54" s="91" t="s">
        <v>46</v>
      </c>
      <c r="N54" s="176">
        <f>20000000-3746076</f>
        <v>16253924</v>
      </c>
      <c r="O54" s="7">
        <v>0</v>
      </c>
      <c r="P54" s="7">
        <v>0</v>
      </c>
      <c r="Q54" s="7" t="s">
        <v>47</v>
      </c>
      <c r="R54" s="7" t="s">
        <v>48</v>
      </c>
      <c r="S54" s="91" t="s">
        <v>49</v>
      </c>
      <c r="T54" s="91">
        <v>3846666</v>
      </c>
      <c r="U54" s="68" t="s">
        <v>50</v>
      </c>
      <c r="V54" s="7" t="s">
        <v>51</v>
      </c>
      <c r="W54" s="7" t="s">
        <v>207</v>
      </c>
      <c r="X54" s="7" t="s">
        <v>208</v>
      </c>
      <c r="Y54" s="7"/>
      <c r="Z54" s="7"/>
      <c r="AA54" s="7"/>
      <c r="AB54" s="8">
        <f t="shared" si="8"/>
        <v>16253924</v>
      </c>
      <c r="AC54" s="248"/>
      <c r="AD54" s="249"/>
      <c r="AE54" s="249">
        <f t="shared" si="2"/>
        <v>16253924</v>
      </c>
      <c r="AF54" s="248"/>
      <c r="AG54" s="248"/>
      <c r="AH54" s="249"/>
      <c r="AI54" s="249">
        <f t="shared" si="3"/>
        <v>16253924</v>
      </c>
      <c r="AJ54" s="248"/>
      <c r="AK54" s="248"/>
      <c r="AL54" s="249"/>
      <c r="AM54" s="7"/>
    </row>
    <row r="55" spans="1:39" ht="113.25" customHeight="1" x14ac:dyDescent="0.3">
      <c r="A55" s="7" t="s">
        <v>202</v>
      </c>
      <c r="B55" s="62" t="s">
        <v>40</v>
      </c>
      <c r="C55" s="145" t="s">
        <v>203</v>
      </c>
      <c r="D55" s="7" t="s">
        <v>204</v>
      </c>
      <c r="E55" s="7" t="s">
        <v>43</v>
      </c>
      <c r="F55" s="7" t="s">
        <v>205</v>
      </c>
      <c r="G55" s="91" t="s">
        <v>206</v>
      </c>
      <c r="H55" s="91">
        <v>2</v>
      </c>
      <c r="I55" s="91">
        <v>3</v>
      </c>
      <c r="J55" s="91">
        <v>6</v>
      </c>
      <c r="K55" s="91">
        <v>1</v>
      </c>
      <c r="L55" s="91" t="s">
        <v>189</v>
      </c>
      <c r="M55" s="91" t="s">
        <v>121</v>
      </c>
      <c r="N55" s="176">
        <v>5000000</v>
      </c>
      <c r="O55" s="7">
        <v>0</v>
      </c>
      <c r="P55" s="7">
        <v>0</v>
      </c>
      <c r="Q55" s="7" t="s">
        <v>47</v>
      </c>
      <c r="R55" s="7" t="s">
        <v>48</v>
      </c>
      <c r="S55" s="91" t="s">
        <v>49</v>
      </c>
      <c r="T55" s="91">
        <v>3846666</v>
      </c>
      <c r="U55" s="68" t="s">
        <v>50</v>
      </c>
      <c r="V55" s="7" t="s">
        <v>51</v>
      </c>
      <c r="W55" s="7" t="s">
        <v>207</v>
      </c>
      <c r="X55" s="7" t="s">
        <v>208</v>
      </c>
      <c r="Y55" s="7"/>
      <c r="Z55" s="7"/>
      <c r="AA55" s="7"/>
      <c r="AB55" s="8">
        <f t="shared" si="8"/>
        <v>5000000</v>
      </c>
      <c r="AC55" s="248"/>
      <c r="AD55" s="249"/>
      <c r="AE55" s="249">
        <f t="shared" si="2"/>
        <v>5000000</v>
      </c>
      <c r="AF55" s="248"/>
      <c r="AG55" s="248"/>
      <c r="AH55" s="249"/>
      <c r="AI55" s="249">
        <f t="shared" si="3"/>
        <v>5000000</v>
      </c>
      <c r="AJ55" s="248"/>
      <c r="AK55" s="248"/>
      <c r="AL55" s="249"/>
      <c r="AM55" s="7"/>
    </row>
    <row r="56" spans="1:39" ht="113.25" customHeight="1" x14ac:dyDescent="0.3">
      <c r="A56" s="7" t="s">
        <v>202</v>
      </c>
      <c r="B56" s="62" t="s">
        <v>40</v>
      </c>
      <c r="C56" s="145" t="s">
        <v>203</v>
      </c>
      <c r="D56" s="7" t="s">
        <v>204</v>
      </c>
      <c r="E56" s="7" t="s">
        <v>43</v>
      </c>
      <c r="F56" s="7" t="s">
        <v>65</v>
      </c>
      <c r="G56" s="91" t="s">
        <v>66</v>
      </c>
      <c r="H56" s="91" t="s">
        <v>65</v>
      </c>
      <c r="I56" s="91" t="s">
        <v>65</v>
      </c>
      <c r="J56" s="91" t="s">
        <v>65</v>
      </c>
      <c r="K56" s="91" t="s">
        <v>65</v>
      </c>
      <c r="L56" s="91" t="s">
        <v>67</v>
      </c>
      <c r="M56" s="91" t="s">
        <v>46</v>
      </c>
      <c r="N56" s="176">
        <f>1808240+3506076</f>
        <v>5314316</v>
      </c>
      <c r="O56" s="7">
        <v>0</v>
      </c>
      <c r="P56" s="7">
        <v>0</v>
      </c>
      <c r="Q56" s="7" t="s">
        <v>47</v>
      </c>
      <c r="R56" s="7" t="s">
        <v>48</v>
      </c>
      <c r="S56" s="91" t="s">
        <v>49</v>
      </c>
      <c r="T56" s="91">
        <v>3846666</v>
      </c>
      <c r="U56" s="68" t="s">
        <v>50</v>
      </c>
      <c r="V56" s="7" t="s">
        <v>51</v>
      </c>
      <c r="W56" s="7" t="s">
        <v>68</v>
      </c>
      <c r="X56" s="7" t="s">
        <v>65</v>
      </c>
      <c r="Y56" s="7"/>
      <c r="Z56" s="7"/>
      <c r="AA56" s="7"/>
      <c r="AB56" s="8">
        <f t="shared" si="8"/>
        <v>5314316</v>
      </c>
      <c r="AC56" s="248"/>
      <c r="AD56" s="249"/>
      <c r="AE56" s="249">
        <f t="shared" si="2"/>
        <v>5314316</v>
      </c>
      <c r="AF56" s="248"/>
      <c r="AG56" s="248"/>
      <c r="AH56" s="249"/>
      <c r="AI56" s="179">
        <f t="shared" si="3"/>
        <v>5314316</v>
      </c>
      <c r="AJ56" s="248"/>
      <c r="AK56" s="248"/>
      <c r="AL56" s="249"/>
      <c r="AM56" s="7"/>
    </row>
    <row r="57" spans="1:39" ht="113.25" customHeight="1" x14ac:dyDescent="0.3">
      <c r="A57" s="7" t="s">
        <v>202</v>
      </c>
      <c r="B57" s="62" t="s">
        <v>40</v>
      </c>
      <c r="C57" s="145" t="s">
        <v>203</v>
      </c>
      <c r="D57" s="7" t="s">
        <v>204</v>
      </c>
      <c r="E57" s="7" t="s">
        <v>43</v>
      </c>
      <c r="F57" s="7" t="s">
        <v>65</v>
      </c>
      <c r="G57" s="91" t="s">
        <v>69</v>
      </c>
      <c r="H57" s="91" t="s">
        <v>65</v>
      </c>
      <c r="I57" s="91" t="s">
        <v>65</v>
      </c>
      <c r="J57" s="91" t="s">
        <v>65</v>
      </c>
      <c r="K57" s="91" t="s">
        <v>65</v>
      </c>
      <c r="L57" s="91" t="s">
        <v>67</v>
      </c>
      <c r="M57" s="91" t="s">
        <v>46</v>
      </c>
      <c r="N57" s="176">
        <f>120000+240000</f>
        <v>360000</v>
      </c>
      <c r="O57" s="7">
        <v>0</v>
      </c>
      <c r="P57" s="7">
        <v>0</v>
      </c>
      <c r="Q57" s="7" t="s">
        <v>47</v>
      </c>
      <c r="R57" s="7" t="s">
        <v>48</v>
      </c>
      <c r="S57" s="91" t="s">
        <v>49</v>
      </c>
      <c r="T57" s="91">
        <v>3846666</v>
      </c>
      <c r="U57" s="68" t="s">
        <v>50</v>
      </c>
      <c r="V57" s="7" t="s">
        <v>51</v>
      </c>
      <c r="W57" s="7" t="s">
        <v>70</v>
      </c>
      <c r="X57" s="7" t="s">
        <v>65</v>
      </c>
      <c r="Y57" s="7"/>
      <c r="Z57" s="7"/>
      <c r="AA57" s="7"/>
      <c r="AB57" s="8">
        <f t="shared" si="8"/>
        <v>360000</v>
      </c>
      <c r="AC57" s="248"/>
      <c r="AD57" s="249"/>
      <c r="AE57" s="249">
        <f t="shared" si="2"/>
        <v>360000</v>
      </c>
      <c r="AF57" s="248"/>
      <c r="AG57" s="248"/>
      <c r="AH57" s="249"/>
      <c r="AI57" s="179">
        <f t="shared" si="3"/>
        <v>360000</v>
      </c>
      <c r="AJ57" s="248"/>
      <c r="AK57" s="248"/>
      <c r="AL57" s="249"/>
      <c r="AM57" s="7"/>
    </row>
    <row r="58" spans="1:39" ht="113.25" customHeight="1" x14ac:dyDescent="0.3">
      <c r="A58" s="7" t="s">
        <v>202</v>
      </c>
      <c r="B58" s="62" t="s">
        <v>40</v>
      </c>
      <c r="C58" s="145" t="s">
        <v>203</v>
      </c>
      <c r="D58" s="7" t="s">
        <v>209</v>
      </c>
      <c r="E58" s="7" t="s">
        <v>43</v>
      </c>
      <c r="F58" s="77">
        <v>80111600</v>
      </c>
      <c r="G58" s="7" t="s">
        <v>210</v>
      </c>
      <c r="H58" s="7">
        <v>2</v>
      </c>
      <c r="I58" s="7">
        <v>2</v>
      </c>
      <c r="J58" s="7">
        <v>10</v>
      </c>
      <c r="K58" s="7">
        <v>1</v>
      </c>
      <c r="L58" s="7" t="s">
        <v>45</v>
      </c>
      <c r="M58" s="7" t="s">
        <v>46</v>
      </c>
      <c r="N58" s="156">
        <f>3130298*10</f>
        <v>31302980</v>
      </c>
      <c r="O58" s="7">
        <v>0</v>
      </c>
      <c r="P58" s="7">
        <v>0</v>
      </c>
      <c r="Q58" s="7" t="s">
        <v>47</v>
      </c>
      <c r="R58" s="7" t="s">
        <v>48</v>
      </c>
      <c r="S58" s="91" t="s">
        <v>49</v>
      </c>
      <c r="T58" s="91">
        <v>3846666</v>
      </c>
      <c r="U58" s="68" t="s">
        <v>50</v>
      </c>
      <c r="V58" s="7" t="s">
        <v>51</v>
      </c>
      <c r="W58" s="7" t="s">
        <v>52</v>
      </c>
      <c r="X58" s="91" t="s">
        <v>82</v>
      </c>
      <c r="Y58" s="7"/>
      <c r="Z58" s="7"/>
      <c r="AA58" s="7"/>
      <c r="AB58" s="8">
        <f t="shared" si="8"/>
        <v>31302980</v>
      </c>
      <c r="AC58" s="180">
        <v>6121</v>
      </c>
      <c r="AD58" s="181">
        <v>31302980</v>
      </c>
      <c r="AE58" s="181">
        <f t="shared" si="2"/>
        <v>0</v>
      </c>
      <c r="AF58" s="275">
        <v>6821</v>
      </c>
      <c r="AG58" s="291">
        <v>44256</v>
      </c>
      <c r="AH58" s="276">
        <v>31301980</v>
      </c>
      <c r="AI58" s="276">
        <f t="shared" si="3"/>
        <v>1000</v>
      </c>
      <c r="AJ58" s="275" t="s">
        <v>211</v>
      </c>
      <c r="AK58" s="275" t="s">
        <v>212</v>
      </c>
      <c r="AL58" s="184">
        <f>3130198+3130198+3130198</f>
        <v>9390594</v>
      </c>
      <c r="AM58" s="7"/>
    </row>
    <row r="59" spans="1:39" ht="113.25" customHeight="1" x14ac:dyDescent="0.3">
      <c r="A59" s="7" t="s">
        <v>202</v>
      </c>
      <c r="B59" s="62" t="s">
        <v>40</v>
      </c>
      <c r="C59" s="145" t="s">
        <v>203</v>
      </c>
      <c r="D59" s="7" t="s">
        <v>213</v>
      </c>
      <c r="E59" s="7" t="s">
        <v>43</v>
      </c>
      <c r="F59" s="77">
        <v>80111600</v>
      </c>
      <c r="G59" s="7" t="s">
        <v>214</v>
      </c>
      <c r="H59" s="7">
        <v>2</v>
      </c>
      <c r="I59" s="7">
        <v>2</v>
      </c>
      <c r="J59" s="7">
        <v>10</v>
      </c>
      <c r="K59" s="7">
        <v>1</v>
      </c>
      <c r="L59" s="7" t="s">
        <v>45</v>
      </c>
      <c r="M59" s="7" t="s">
        <v>46</v>
      </c>
      <c r="N59" s="156">
        <f>3130298*10</f>
        <v>31302980</v>
      </c>
      <c r="O59" s="7">
        <v>0</v>
      </c>
      <c r="P59" s="7">
        <v>0</v>
      </c>
      <c r="Q59" s="7" t="s">
        <v>47</v>
      </c>
      <c r="R59" s="7" t="s">
        <v>48</v>
      </c>
      <c r="S59" s="91" t="s">
        <v>49</v>
      </c>
      <c r="T59" s="91">
        <v>3846666</v>
      </c>
      <c r="U59" s="68" t="s">
        <v>50</v>
      </c>
      <c r="V59" s="7" t="s">
        <v>51</v>
      </c>
      <c r="W59" s="7" t="s">
        <v>52</v>
      </c>
      <c r="X59" s="7" t="s">
        <v>82</v>
      </c>
      <c r="Y59" s="7"/>
      <c r="Z59" s="7"/>
      <c r="AA59" s="7"/>
      <c r="AB59" s="8">
        <f t="shared" si="8"/>
        <v>31302980</v>
      </c>
      <c r="AC59" s="180">
        <v>6721</v>
      </c>
      <c r="AD59" s="181">
        <v>30259547</v>
      </c>
      <c r="AE59" s="181">
        <f t="shared" si="2"/>
        <v>1043433</v>
      </c>
      <c r="AF59" s="275">
        <v>7521</v>
      </c>
      <c r="AG59" s="291">
        <v>44267</v>
      </c>
      <c r="AH59" s="276">
        <v>30259547</v>
      </c>
      <c r="AI59" s="276">
        <f t="shared" si="3"/>
        <v>1043433</v>
      </c>
      <c r="AJ59" s="275" t="s">
        <v>215</v>
      </c>
      <c r="AK59" s="275" t="s">
        <v>216</v>
      </c>
      <c r="AL59" s="184">
        <f>2086865+3130298+3130298</f>
        <v>8347461</v>
      </c>
      <c r="AM59" s="7"/>
    </row>
    <row r="60" spans="1:39" ht="113.25" customHeight="1" x14ac:dyDescent="0.3">
      <c r="A60" s="7" t="s">
        <v>202</v>
      </c>
      <c r="B60" s="62" t="s">
        <v>40</v>
      </c>
      <c r="C60" s="145" t="s">
        <v>203</v>
      </c>
      <c r="D60" s="7" t="s">
        <v>213</v>
      </c>
      <c r="E60" s="7" t="s">
        <v>43</v>
      </c>
      <c r="F60" s="77">
        <v>80111600</v>
      </c>
      <c r="G60" s="7" t="s">
        <v>217</v>
      </c>
      <c r="H60" s="7">
        <v>1</v>
      </c>
      <c r="I60" s="7">
        <v>1</v>
      </c>
      <c r="J60" s="7">
        <v>11</v>
      </c>
      <c r="K60" s="7">
        <v>1</v>
      </c>
      <c r="L60" s="7" t="s">
        <v>45</v>
      </c>
      <c r="M60" s="7" t="s">
        <v>46</v>
      </c>
      <c r="N60" s="156">
        <f>1800000*11</f>
        <v>19800000</v>
      </c>
      <c r="O60" s="7">
        <v>0</v>
      </c>
      <c r="P60" s="7">
        <v>0</v>
      </c>
      <c r="Q60" s="7" t="s">
        <v>47</v>
      </c>
      <c r="R60" s="7" t="s">
        <v>48</v>
      </c>
      <c r="S60" s="91" t="s">
        <v>49</v>
      </c>
      <c r="T60" s="91">
        <v>3846666</v>
      </c>
      <c r="U60" s="68" t="s">
        <v>50</v>
      </c>
      <c r="V60" s="7" t="s">
        <v>51</v>
      </c>
      <c r="W60" s="7" t="s">
        <v>104</v>
      </c>
      <c r="X60" s="7" t="s">
        <v>82</v>
      </c>
      <c r="Y60" s="7"/>
      <c r="Z60" s="7"/>
      <c r="AA60" s="7"/>
      <c r="AB60" s="8">
        <f t="shared" si="8"/>
        <v>19800000</v>
      </c>
      <c r="AC60" s="180">
        <v>3121</v>
      </c>
      <c r="AD60" s="181">
        <v>19800000</v>
      </c>
      <c r="AE60" s="181">
        <f t="shared" si="2"/>
        <v>0</v>
      </c>
      <c r="AF60" s="275">
        <v>3721</v>
      </c>
      <c r="AG60" s="291">
        <v>44225</v>
      </c>
      <c r="AH60" s="276">
        <v>19800000</v>
      </c>
      <c r="AI60" s="276">
        <f t="shared" si="3"/>
        <v>0</v>
      </c>
      <c r="AJ60" s="275" t="s">
        <v>218</v>
      </c>
      <c r="AK60" s="275" t="s">
        <v>219</v>
      </c>
      <c r="AL60" s="184">
        <f>1800000+1800000+1800000+1800000</f>
        <v>7200000</v>
      </c>
      <c r="AM60" s="7"/>
    </row>
    <row r="61" spans="1:39" ht="113.25" customHeight="1" x14ac:dyDescent="0.3">
      <c r="A61" s="7" t="s">
        <v>202</v>
      </c>
      <c r="B61" s="62" t="s">
        <v>40</v>
      </c>
      <c r="C61" s="145" t="s">
        <v>203</v>
      </c>
      <c r="D61" s="7" t="s">
        <v>213</v>
      </c>
      <c r="E61" s="7" t="s">
        <v>43</v>
      </c>
      <c r="F61" s="7">
        <v>94131503</v>
      </c>
      <c r="G61" s="7" t="s">
        <v>220</v>
      </c>
      <c r="H61" s="7">
        <v>7</v>
      </c>
      <c r="I61" s="7">
        <v>7</v>
      </c>
      <c r="J61" s="7">
        <v>1</v>
      </c>
      <c r="K61" s="7">
        <v>1</v>
      </c>
      <c r="L61" s="7" t="s">
        <v>45</v>
      </c>
      <c r="M61" s="7" t="s">
        <v>46</v>
      </c>
      <c r="N61" s="156">
        <v>11919856</v>
      </c>
      <c r="O61" s="7">
        <v>0</v>
      </c>
      <c r="P61" s="7">
        <v>0</v>
      </c>
      <c r="Q61" s="7" t="s">
        <v>47</v>
      </c>
      <c r="R61" s="7" t="s">
        <v>48</v>
      </c>
      <c r="S61" s="91" t="s">
        <v>49</v>
      </c>
      <c r="T61" s="91">
        <v>3846666</v>
      </c>
      <c r="U61" s="68" t="s">
        <v>50</v>
      </c>
      <c r="V61" s="7" t="s">
        <v>51</v>
      </c>
      <c r="W61" s="7" t="s">
        <v>221</v>
      </c>
      <c r="X61" s="7" t="s">
        <v>82</v>
      </c>
      <c r="Y61" s="7"/>
      <c r="Z61" s="7"/>
      <c r="AA61" s="7"/>
      <c r="AB61" s="8">
        <f t="shared" si="8"/>
        <v>11919856</v>
      </c>
      <c r="AC61" s="248"/>
      <c r="AD61" s="249"/>
      <c r="AE61" s="249">
        <f t="shared" si="2"/>
        <v>11919856</v>
      </c>
      <c r="AF61" s="248"/>
      <c r="AG61" s="248"/>
      <c r="AH61" s="249"/>
      <c r="AI61" s="179">
        <f t="shared" si="3"/>
        <v>11919856</v>
      </c>
      <c r="AJ61" s="248"/>
      <c r="AK61" s="248"/>
      <c r="AL61" s="249"/>
      <c r="AM61" s="7"/>
    </row>
    <row r="62" spans="1:39" ht="113.25" customHeight="1" x14ac:dyDescent="0.3">
      <c r="A62" s="7" t="s">
        <v>202</v>
      </c>
      <c r="B62" s="62" t="s">
        <v>40</v>
      </c>
      <c r="C62" s="145" t="s">
        <v>203</v>
      </c>
      <c r="D62" s="7" t="s">
        <v>213</v>
      </c>
      <c r="E62" s="7" t="s">
        <v>43</v>
      </c>
      <c r="F62" s="7" t="s">
        <v>65</v>
      </c>
      <c r="G62" s="7" t="s">
        <v>66</v>
      </c>
      <c r="H62" s="7" t="s">
        <v>65</v>
      </c>
      <c r="I62" s="7" t="s">
        <v>65</v>
      </c>
      <c r="J62" s="7" t="s">
        <v>65</v>
      </c>
      <c r="K62" s="7" t="s">
        <v>65</v>
      </c>
      <c r="L62" s="7" t="s">
        <v>67</v>
      </c>
      <c r="M62" s="7" t="s">
        <v>46</v>
      </c>
      <c r="N62" s="156">
        <v>10829142</v>
      </c>
      <c r="O62" s="7">
        <v>0</v>
      </c>
      <c r="P62" s="7">
        <v>0</v>
      </c>
      <c r="Q62" s="7" t="s">
        <v>47</v>
      </c>
      <c r="R62" s="7" t="s">
        <v>48</v>
      </c>
      <c r="S62" s="91" t="s">
        <v>49</v>
      </c>
      <c r="T62" s="91">
        <v>3846666</v>
      </c>
      <c r="U62" s="68" t="s">
        <v>50</v>
      </c>
      <c r="V62" s="7" t="s">
        <v>51</v>
      </c>
      <c r="W62" s="7" t="s">
        <v>68</v>
      </c>
      <c r="X62" s="7" t="s">
        <v>65</v>
      </c>
      <c r="Y62" s="7"/>
      <c r="Z62" s="7"/>
      <c r="AA62" s="7"/>
      <c r="AB62" s="8">
        <f t="shared" si="8"/>
        <v>10829142</v>
      </c>
      <c r="AC62" s="248"/>
      <c r="AD62" s="249"/>
      <c r="AE62" s="249">
        <f t="shared" si="2"/>
        <v>10829142</v>
      </c>
      <c r="AF62" s="248"/>
      <c r="AG62" s="248"/>
      <c r="AH62" s="249"/>
      <c r="AI62" s="179">
        <f t="shared" si="3"/>
        <v>10829142</v>
      </c>
      <c r="AJ62" s="248"/>
      <c r="AK62" s="248"/>
      <c r="AL62" s="249"/>
      <c r="AM62" s="7"/>
    </row>
    <row r="63" spans="1:39" ht="113.25" customHeight="1" x14ac:dyDescent="0.3">
      <c r="A63" s="7" t="s">
        <v>202</v>
      </c>
      <c r="B63" s="62" t="s">
        <v>40</v>
      </c>
      <c r="C63" s="145" t="s">
        <v>203</v>
      </c>
      <c r="D63" s="7" t="s">
        <v>213</v>
      </c>
      <c r="E63" s="7" t="s">
        <v>43</v>
      </c>
      <c r="F63" s="7" t="s">
        <v>65</v>
      </c>
      <c r="G63" s="7" t="s">
        <v>69</v>
      </c>
      <c r="H63" s="7" t="s">
        <v>65</v>
      </c>
      <c r="I63" s="7" t="s">
        <v>65</v>
      </c>
      <c r="J63" s="7" t="s">
        <v>65</v>
      </c>
      <c r="K63" s="7" t="s">
        <v>65</v>
      </c>
      <c r="L63" s="7" t="s">
        <v>67</v>
      </c>
      <c r="M63" s="7" t="s">
        <v>46</v>
      </c>
      <c r="N63" s="156">
        <v>1010000</v>
      </c>
      <c r="O63" s="7">
        <v>0</v>
      </c>
      <c r="P63" s="7">
        <v>0</v>
      </c>
      <c r="Q63" s="7" t="s">
        <v>47</v>
      </c>
      <c r="R63" s="7" t="s">
        <v>48</v>
      </c>
      <c r="S63" s="91" t="s">
        <v>49</v>
      </c>
      <c r="T63" s="91">
        <v>3846666</v>
      </c>
      <c r="U63" s="68" t="s">
        <v>50</v>
      </c>
      <c r="V63" s="7" t="s">
        <v>51</v>
      </c>
      <c r="W63" s="7" t="s">
        <v>70</v>
      </c>
      <c r="X63" s="7" t="s">
        <v>65</v>
      </c>
      <c r="Y63" s="7"/>
      <c r="Z63" s="7"/>
      <c r="AA63" s="7"/>
      <c r="AB63" s="8">
        <f t="shared" si="8"/>
        <v>1010000</v>
      </c>
      <c r="AC63" s="248"/>
      <c r="AD63" s="249"/>
      <c r="AE63" s="249">
        <f t="shared" si="2"/>
        <v>1010000</v>
      </c>
      <c r="AF63" s="248"/>
      <c r="AG63" s="248"/>
      <c r="AH63" s="249"/>
      <c r="AI63" s="179">
        <f t="shared" si="3"/>
        <v>1010000</v>
      </c>
      <c r="AJ63" s="248"/>
      <c r="AK63" s="248"/>
      <c r="AL63" s="249"/>
      <c r="AM63" s="7"/>
    </row>
    <row r="64" spans="1:39" ht="113.25" customHeight="1" x14ac:dyDescent="0.3">
      <c r="A64" s="80" t="s">
        <v>222</v>
      </c>
      <c r="B64" s="61" t="s">
        <v>223</v>
      </c>
      <c r="C64" s="141" t="s">
        <v>224</v>
      </c>
      <c r="D64" s="64" t="s">
        <v>225</v>
      </c>
      <c r="E64" s="7" t="s">
        <v>226</v>
      </c>
      <c r="F64" s="7">
        <v>80111600</v>
      </c>
      <c r="G64" s="7" t="s">
        <v>227</v>
      </c>
      <c r="H64" s="67">
        <v>1</v>
      </c>
      <c r="I64" s="67">
        <v>1</v>
      </c>
      <c r="J64" s="67">
        <v>11</v>
      </c>
      <c r="K64" s="67">
        <v>1</v>
      </c>
      <c r="L64" s="7" t="s">
        <v>45</v>
      </c>
      <c r="M64" s="7" t="s">
        <v>46</v>
      </c>
      <c r="N64" s="157">
        <f>2288000*11</f>
        <v>25168000</v>
      </c>
      <c r="O64" s="7">
        <v>0</v>
      </c>
      <c r="P64" s="7">
        <v>0</v>
      </c>
      <c r="Q64" s="7" t="s">
        <v>47</v>
      </c>
      <c r="R64" s="7" t="s">
        <v>48</v>
      </c>
      <c r="S64" s="91" t="s">
        <v>146</v>
      </c>
      <c r="T64" s="91">
        <v>3846666</v>
      </c>
      <c r="U64" s="68" t="s">
        <v>147</v>
      </c>
      <c r="V64" s="7" t="s">
        <v>51</v>
      </c>
      <c r="W64" s="69" t="s">
        <v>228</v>
      </c>
      <c r="X64" s="7" t="s">
        <v>229</v>
      </c>
      <c r="Y64" s="7"/>
      <c r="Z64" s="7"/>
      <c r="AA64" s="7"/>
      <c r="AB64" s="8">
        <f t="shared" si="8"/>
        <v>25168000</v>
      </c>
      <c r="AC64" s="180">
        <v>4421</v>
      </c>
      <c r="AD64" s="181">
        <v>25167470</v>
      </c>
      <c r="AE64" s="181">
        <f t="shared" si="2"/>
        <v>530</v>
      </c>
      <c r="AF64" s="275">
        <v>4921</v>
      </c>
      <c r="AG64" s="291">
        <v>44232</v>
      </c>
      <c r="AH64" s="276">
        <v>25167470</v>
      </c>
      <c r="AI64" s="276">
        <f t="shared" si="3"/>
        <v>530</v>
      </c>
      <c r="AJ64" s="275" t="s">
        <v>230</v>
      </c>
      <c r="AK64" s="275" t="s">
        <v>231</v>
      </c>
      <c r="AL64" s="184">
        <f>1646470+2352100+2352100+2352100</f>
        <v>8702770</v>
      </c>
      <c r="AM64" s="7"/>
    </row>
    <row r="65" spans="1:39" ht="104.25" customHeight="1" x14ac:dyDescent="0.3">
      <c r="A65" s="80" t="s">
        <v>222</v>
      </c>
      <c r="B65" s="61" t="s">
        <v>223</v>
      </c>
      <c r="C65" s="141" t="s">
        <v>224</v>
      </c>
      <c r="D65" s="64" t="s">
        <v>225</v>
      </c>
      <c r="E65" s="7" t="s">
        <v>226</v>
      </c>
      <c r="F65" s="7">
        <v>44111515</v>
      </c>
      <c r="G65" s="7" t="s">
        <v>232</v>
      </c>
      <c r="H65" s="67">
        <v>2</v>
      </c>
      <c r="I65" s="67">
        <v>3</v>
      </c>
      <c r="J65" s="67">
        <v>1</v>
      </c>
      <c r="K65" s="67">
        <v>1</v>
      </c>
      <c r="L65" s="7" t="s">
        <v>157</v>
      </c>
      <c r="M65" s="83" t="s">
        <v>46</v>
      </c>
      <c r="N65" s="157">
        <v>29500000</v>
      </c>
      <c r="O65" s="7">
        <v>0</v>
      </c>
      <c r="P65" s="7">
        <v>0</v>
      </c>
      <c r="Q65" s="7" t="s">
        <v>47</v>
      </c>
      <c r="R65" s="7" t="s">
        <v>48</v>
      </c>
      <c r="S65" s="91" t="s">
        <v>146</v>
      </c>
      <c r="T65" s="91">
        <v>3846666</v>
      </c>
      <c r="U65" s="68" t="s">
        <v>147</v>
      </c>
      <c r="V65" s="7" t="s">
        <v>51</v>
      </c>
      <c r="W65" s="7" t="s">
        <v>233</v>
      </c>
      <c r="X65" s="7" t="s">
        <v>229</v>
      </c>
      <c r="Y65" s="7"/>
      <c r="Z65" s="7"/>
      <c r="AA65" s="7"/>
      <c r="AB65" s="8">
        <f t="shared" si="8"/>
        <v>29500000</v>
      </c>
      <c r="AC65" s="248"/>
      <c r="AD65" s="249"/>
      <c r="AE65" s="249">
        <f t="shared" si="2"/>
        <v>29500000</v>
      </c>
      <c r="AF65" s="248"/>
      <c r="AG65" s="248"/>
      <c r="AH65" s="249"/>
      <c r="AI65" s="179">
        <f t="shared" si="3"/>
        <v>29500000</v>
      </c>
      <c r="AJ65" s="248"/>
      <c r="AK65" s="248"/>
      <c r="AL65" s="249"/>
      <c r="AM65" s="7"/>
    </row>
    <row r="66" spans="1:39" ht="104.25" customHeight="1" x14ac:dyDescent="0.3">
      <c r="A66" s="80" t="s">
        <v>222</v>
      </c>
      <c r="B66" s="61" t="s">
        <v>223</v>
      </c>
      <c r="C66" s="141" t="s">
        <v>224</v>
      </c>
      <c r="D66" s="64" t="s">
        <v>234</v>
      </c>
      <c r="E66" s="7" t="s">
        <v>226</v>
      </c>
      <c r="F66" s="7">
        <v>80111600</v>
      </c>
      <c r="G66" s="7" t="s">
        <v>235</v>
      </c>
      <c r="H66" s="67">
        <v>1</v>
      </c>
      <c r="I66" s="67">
        <v>1</v>
      </c>
      <c r="J66" s="67">
        <v>11</v>
      </c>
      <c r="K66" s="67">
        <v>1</v>
      </c>
      <c r="L66" s="7" t="s">
        <v>45</v>
      </c>
      <c r="M66" s="7" t="s">
        <v>46</v>
      </c>
      <c r="N66" s="157">
        <f>2652937*11</f>
        <v>29182307</v>
      </c>
      <c r="O66" s="7">
        <v>0</v>
      </c>
      <c r="P66" s="7">
        <v>0</v>
      </c>
      <c r="Q66" s="7" t="s">
        <v>47</v>
      </c>
      <c r="R66" s="7" t="s">
        <v>48</v>
      </c>
      <c r="S66" s="91" t="s">
        <v>146</v>
      </c>
      <c r="T66" s="91">
        <v>3846666</v>
      </c>
      <c r="U66" s="68" t="s">
        <v>147</v>
      </c>
      <c r="V66" s="7" t="s">
        <v>51</v>
      </c>
      <c r="W66" s="69" t="s">
        <v>73</v>
      </c>
      <c r="X66" s="69" t="s">
        <v>229</v>
      </c>
      <c r="Y66" s="7"/>
      <c r="Z66" s="7"/>
      <c r="AA66" s="7"/>
      <c r="AB66" s="8">
        <f t="shared" si="8"/>
        <v>29182307</v>
      </c>
      <c r="AC66" s="180">
        <v>4321</v>
      </c>
      <c r="AD66" s="181">
        <v>29178900</v>
      </c>
      <c r="AE66" s="181">
        <f t="shared" si="2"/>
        <v>3407</v>
      </c>
      <c r="AF66" s="275">
        <v>4821</v>
      </c>
      <c r="AG66" s="291">
        <v>44232</v>
      </c>
      <c r="AH66" s="276">
        <v>29178900</v>
      </c>
      <c r="AI66" s="276">
        <f t="shared" si="3"/>
        <v>3407</v>
      </c>
      <c r="AJ66" s="275" t="s">
        <v>236</v>
      </c>
      <c r="AK66" s="275" t="s">
        <v>237</v>
      </c>
      <c r="AL66" s="184">
        <f>1908900+2727000+2727000+2727000</f>
        <v>10089900</v>
      </c>
      <c r="AM66" s="7"/>
    </row>
    <row r="67" spans="1:39" ht="104.25" customHeight="1" x14ac:dyDescent="0.3">
      <c r="A67" s="7" t="s">
        <v>238</v>
      </c>
      <c r="B67" s="61" t="s">
        <v>223</v>
      </c>
      <c r="C67" s="145" t="s">
        <v>239</v>
      </c>
      <c r="D67" s="64" t="s">
        <v>240</v>
      </c>
      <c r="E67" s="7" t="s">
        <v>241</v>
      </c>
      <c r="F67" s="7">
        <v>93141808</v>
      </c>
      <c r="G67" s="66" t="s">
        <v>242</v>
      </c>
      <c r="H67" s="67">
        <v>10</v>
      </c>
      <c r="I67" s="67">
        <v>10</v>
      </c>
      <c r="J67" s="67">
        <v>2</v>
      </c>
      <c r="K67" s="67">
        <v>1</v>
      </c>
      <c r="L67" s="7" t="s">
        <v>189</v>
      </c>
      <c r="M67" s="7" t="s">
        <v>121</v>
      </c>
      <c r="N67" s="157">
        <v>7500000</v>
      </c>
      <c r="O67" s="7">
        <v>0</v>
      </c>
      <c r="P67" s="7">
        <v>0</v>
      </c>
      <c r="Q67" s="7" t="s">
        <v>47</v>
      </c>
      <c r="R67" s="7" t="s">
        <v>48</v>
      </c>
      <c r="S67" s="91" t="s">
        <v>146</v>
      </c>
      <c r="T67" s="91">
        <v>3846666</v>
      </c>
      <c r="U67" s="68" t="s">
        <v>147</v>
      </c>
      <c r="V67" s="7" t="s">
        <v>51</v>
      </c>
      <c r="W67" s="69" t="s">
        <v>86</v>
      </c>
      <c r="X67" s="69" t="s">
        <v>243</v>
      </c>
      <c r="Y67" s="7"/>
      <c r="Z67" s="7"/>
      <c r="AA67" s="7"/>
      <c r="AB67" s="8">
        <f t="shared" si="8"/>
        <v>7500000</v>
      </c>
      <c r="AC67" s="248"/>
      <c r="AD67" s="249"/>
      <c r="AE67" s="249">
        <f t="shared" si="2"/>
        <v>7500000</v>
      </c>
      <c r="AF67" s="248"/>
      <c r="AG67" s="248"/>
      <c r="AH67" s="249"/>
      <c r="AI67" s="249">
        <f t="shared" si="3"/>
        <v>7500000</v>
      </c>
      <c r="AJ67" s="248"/>
      <c r="AK67" s="248"/>
      <c r="AL67" s="249"/>
      <c r="AM67" s="7"/>
    </row>
    <row r="68" spans="1:39" ht="104.25" customHeight="1" x14ac:dyDescent="0.3">
      <c r="A68" s="7" t="s">
        <v>238</v>
      </c>
      <c r="B68" s="61" t="s">
        <v>223</v>
      </c>
      <c r="C68" s="145" t="s">
        <v>239</v>
      </c>
      <c r="D68" s="7" t="s">
        <v>244</v>
      </c>
      <c r="E68" s="7" t="s">
        <v>241</v>
      </c>
      <c r="F68" s="7" t="s">
        <v>245</v>
      </c>
      <c r="G68" s="66" t="s">
        <v>246</v>
      </c>
      <c r="H68" s="67">
        <v>4</v>
      </c>
      <c r="I68" s="67">
        <v>4</v>
      </c>
      <c r="J68" s="67">
        <v>8</v>
      </c>
      <c r="K68" s="67">
        <v>1</v>
      </c>
      <c r="L68" s="7" t="s">
        <v>189</v>
      </c>
      <c r="M68" s="7" t="s">
        <v>121</v>
      </c>
      <c r="N68" s="157">
        <v>14109525</v>
      </c>
      <c r="O68" s="7">
        <v>0</v>
      </c>
      <c r="P68" s="7">
        <v>0</v>
      </c>
      <c r="Q68" s="7" t="s">
        <v>47</v>
      </c>
      <c r="R68" s="7" t="s">
        <v>48</v>
      </c>
      <c r="S68" s="91" t="s">
        <v>146</v>
      </c>
      <c r="T68" s="91">
        <v>3846666</v>
      </c>
      <c r="U68" s="68" t="s">
        <v>147</v>
      </c>
      <c r="V68" s="7" t="s">
        <v>51</v>
      </c>
      <c r="W68" s="69" t="s">
        <v>86</v>
      </c>
      <c r="X68" s="69" t="s">
        <v>243</v>
      </c>
      <c r="Y68" s="7"/>
      <c r="Z68" s="7"/>
      <c r="AA68" s="7"/>
      <c r="AB68" s="8">
        <f t="shared" si="8"/>
        <v>14109525</v>
      </c>
      <c r="AC68" s="248"/>
      <c r="AD68" s="249"/>
      <c r="AE68" s="249">
        <f t="shared" si="2"/>
        <v>14109525</v>
      </c>
      <c r="AF68" s="248"/>
      <c r="AG68" s="248"/>
      <c r="AH68" s="249"/>
      <c r="AI68" s="249">
        <f t="shared" si="3"/>
        <v>14109525</v>
      </c>
      <c r="AJ68" s="248"/>
      <c r="AK68" s="248"/>
      <c r="AL68" s="249"/>
      <c r="AM68" s="7"/>
    </row>
    <row r="69" spans="1:39" ht="123" customHeight="1" x14ac:dyDescent="0.3">
      <c r="A69" s="7" t="s">
        <v>247</v>
      </c>
      <c r="B69" s="61" t="s">
        <v>223</v>
      </c>
      <c r="C69" s="136" t="s">
        <v>248</v>
      </c>
      <c r="D69" s="64" t="s">
        <v>249</v>
      </c>
      <c r="E69" s="7" t="s">
        <v>241</v>
      </c>
      <c r="F69" s="65">
        <v>80111600</v>
      </c>
      <c r="G69" s="66" t="s">
        <v>250</v>
      </c>
      <c r="H69" s="67">
        <v>1</v>
      </c>
      <c r="I69" s="67">
        <v>1</v>
      </c>
      <c r="J69" s="67">
        <v>11</v>
      </c>
      <c r="K69" s="67">
        <v>1</v>
      </c>
      <c r="L69" s="7" t="s">
        <v>45</v>
      </c>
      <c r="M69" s="7" t="s">
        <v>46</v>
      </c>
      <c r="N69" s="157">
        <f>2914982*11</f>
        <v>32064802</v>
      </c>
      <c r="O69" s="7">
        <v>0</v>
      </c>
      <c r="P69" s="7">
        <v>0</v>
      </c>
      <c r="Q69" s="7" t="s">
        <v>47</v>
      </c>
      <c r="R69" s="7" t="s">
        <v>48</v>
      </c>
      <c r="S69" s="91" t="s">
        <v>146</v>
      </c>
      <c r="T69" s="91">
        <v>3846666</v>
      </c>
      <c r="U69" s="68" t="s">
        <v>147</v>
      </c>
      <c r="V69" s="7" t="s">
        <v>51</v>
      </c>
      <c r="W69" s="69" t="s">
        <v>52</v>
      </c>
      <c r="X69" s="69" t="s">
        <v>243</v>
      </c>
      <c r="Y69" s="7"/>
      <c r="Z69" s="7"/>
      <c r="AA69" s="7"/>
      <c r="AB69" s="8">
        <f t="shared" si="8"/>
        <v>32064802</v>
      </c>
      <c r="AC69" s="180">
        <v>1621</v>
      </c>
      <c r="AD69" s="181">
        <v>32064802</v>
      </c>
      <c r="AE69" s="181">
        <f t="shared" si="2"/>
        <v>0</v>
      </c>
      <c r="AF69" s="275">
        <v>1621</v>
      </c>
      <c r="AG69" s="291">
        <v>44218</v>
      </c>
      <c r="AH69" s="276">
        <v>32064802</v>
      </c>
      <c r="AI69" s="276">
        <f t="shared" si="3"/>
        <v>0</v>
      </c>
      <c r="AJ69" s="275" t="s">
        <v>251</v>
      </c>
      <c r="AK69" s="275" t="s">
        <v>252</v>
      </c>
      <c r="AL69" s="184">
        <f>582996+2914982+2914982+2914982+2914982</f>
        <v>12242924</v>
      </c>
      <c r="AM69" s="7"/>
    </row>
    <row r="70" spans="1:39" ht="104.25" customHeight="1" x14ac:dyDescent="0.3">
      <c r="A70" s="7" t="s">
        <v>247</v>
      </c>
      <c r="B70" s="61" t="s">
        <v>223</v>
      </c>
      <c r="C70" s="136" t="s">
        <v>248</v>
      </c>
      <c r="D70" s="70" t="s">
        <v>253</v>
      </c>
      <c r="E70" s="7" t="s">
        <v>241</v>
      </c>
      <c r="F70" s="65">
        <v>80111600</v>
      </c>
      <c r="G70" s="71" t="s">
        <v>254</v>
      </c>
      <c r="H70" s="67">
        <v>2</v>
      </c>
      <c r="I70" s="72">
        <v>2</v>
      </c>
      <c r="J70" s="72">
        <v>4</v>
      </c>
      <c r="K70" s="72">
        <v>1</v>
      </c>
      <c r="L70" s="63" t="s">
        <v>45</v>
      </c>
      <c r="M70" s="7" t="s">
        <v>46</v>
      </c>
      <c r="N70" s="157">
        <f>3130298*4</f>
        <v>12521192</v>
      </c>
      <c r="O70" s="7">
        <v>0</v>
      </c>
      <c r="P70" s="7">
        <v>0</v>
      </c>
      <c r="Q70" s="7" t="s">
        <v>47</v>
      </c>
      <c r="R70" s="7" t="s">
        <v>48</v>
      </c>
      <c r="S70" s="91" t="s">
        <v>146</v>
      </c>
      <c r="T70" s="91">
        <v>3846666</v>
      </c>
      <c r="U70" s="68" t="s">
        <v>147</v>
      </c>
      <c r="V70" s="7" t="s">
        <v>51</v>
      </c>
      <c r="W70" s="69" t="s">
        <v>52</v>
      </c>
      <c r="X70" s="69" t="s">
        <v>243</v>
      </c>
      <c r="Y70" s="7"/>
      <c r="Z70" s="7"/>
      <c r="AA70" s="7"/>
      <c r="AB70" s="8">
        <f t="shared" si="8"/>
        <v>12521192</v>
      </c>
      <c r="AC70" s="248"/>
      <c r="AD70" s="249"/>
      <c r="AE70" s="249">
        <f t="shared" si="2"/>
        <v>12521192</v>
      </c>
      <c r="AF70" s="248"/>
      <c r="AG70" s="248"/>
      <c r="AH70" s="249"/>
      <c r="AI70" s="249">
        <f t="shared" si="3"/>
        <v>12521192</v>
      </c>
      <c r="AJ70" s="248"/>
      <c r="AK70" s="248"/>
      <c r="AL70" s="249"/>
      <c r="AM70" s="7"/>
    </row>
    <row r="71" spans="1:39" ht="104.25" customHeight="1" x14ac:dyDescent="0.3">
      <c r="A71" s="7" t="s">
        <v>247</v>
      </c>
      <c r="B71" s="61" t="s">
        <v>223</v>
      </c>
      <c r="C71" s="136" t="s">
        <v>248</v>
      </c>
      <c r="D71" s="70" t="s">
        <v>253</v>
      </c>
      <c r="E71" s="7" t="s">
        <v>255</v>
      </c>
      <c r="F71" s="7">
        <v>80111600</v>
      </c>
      <c r="G71" s="73" t="s">
        <v>256</v>
      </c>
      <c r="H71" s="67">
        <v>5</v>
      </c>
      <c r="I71" s="72">
        <v>5</v>
      </c>
      <c r="J71" s="72">
        <v>6</v>
      </c>
      <c r="K71" s="72">
        <v>1</v>
      </c>
      <c r="L71" s="74" t="s">
        <v>45</v>
      </c>
      <c r="M71" s="5" t="s">
        <v>46</v>
      </c>
      <c r="N71" s="157">
        <v>24000000</v>
      </c>
      <c r="O71" s="7">
        <v>0</v>
      </c>
      <c r="P71" s="7">
        <v>0</v>
      </c>
      <c r="Q71" s="7" t="s">
        <v>47</v>
      </c>
      <c r="R71" s="7" t="s">
        <v>48</v>
      </c>
      <c r="S71" s="91" t="s">
        <v>257</v>
      </c>
      <c r="T71" s="91">
        <v>3846666</v>
      </c>
      <c r="U71" s="68" t="s">
        <v>258</v>
      </c>
      <c r="V71" s="7" t="s">
        <v>51</v>
      </c>
      <c r="W71" s="75" t="s">
        <v>52</v>
      </c>
      <c r="X71" s="7" t="s">
        <v>257</v>
      </c>
      <c r="Y71" s="7"/>
      <c r="Z71" s="7"/>
      <c r="AA71" s="259">
        <v>20523360</v>
      </c>
      <c r="AB71" s="8">
        <f t="shared" si="8"/>
        <v>3476640</v>
      </c>
      <c r="AC71" s="248"/>
      <c r="AD71" s="249"/>
      <c r="AE71" s="249">
        <f t="shared" ref="AE71:AE136" si="10">+AB71-AD71</f>
        <v>3476640</v>
      </c>
      <c r="AF71" s="248"/>
      <c r="AG71" s="248"/>
      <c r="AH71" s="249"/>
      <c r="AI71" s="249">
        <f t="shared" ref="AI71:AI136" si="11">+AB71-AH71</f>
        <v>3476640</v>
      </c>
      <c r="AJ71" s="248"/>
      <c r="AK71" s="248"/>
      <c r="AL71" s="249"/>
      <c r="AM71" s="7" t="s">
        <v>62</v>
      </c>
    </row>
    <row r="72" spans="1:39" ht="104.25" customHeight="1" x14ac:dyDescent="0.3">
      <c r="A72" s="7" t="s">
        <v>247</v>
      </c>
      <c r="B72" s="61" t="s">
        <v>223</v>
      </c>
      <c r="C72" s="136" t="s">
        <v>248</v>
      </c>
      <c r="D72" s="70" t="s">
        <v>253</v>
      </c>
      <c r="E72" s="7" t="s">
        <v>259</v>
      </c>
      <c r="F72" s="7">
        <v>80111600</v>
      </c>
      <c r="G72" s="285" t="s">
        <v>260</v>
      </c>
      <c r="H72" s="67">
        <v>6</v>
      </c>
      <c r="I72" s="72">
        <v>6</v>
      </c>
      <c r="J72" s="72">
        <v>6</v>
      </c>
      <c r="K72" s="72">
        <v>1</v>
      </c>
      <c r="L72" s="74" t="s">
        <v>45</v>
      </c>
      <c r="M72" s="7" t="s">
        <v>46</v>
      </c>
      <c r="N72" s="157">
        <v>0</v>
      </c>
      <c r="O72" s="7">
        <v>0</v>
      </c>
      <c r="P72" s="7">
        <v>0</v>
      </c>
      <c r="Q72" s="7" t="s">
        <v>47</v>
      </c>
      <c r="R72" s="7" t="s">
        <v>48</v>
      </c>
      <c r="S72" s="91" t="s">
        <v>257</v>
      </c>
      <c r="T72" s="91">
        <v>3846666</v>
      </c>
      <c r="U72" s="264" t="s">
        <v>261</v>
      </c>
      <c r="V72" s="7" t="s">
        <v>51</v>
      </c>
      <c r="W72" s="75" t="s">
        <v>52</v>
      </c>
      <c r="X72" s="7" t="s">
        <v>257</v>
      </c>
      <c r="Y72" s="259">
        <v>20523360</v>
      </c>
      <c r="Z72" s="7"/>
      <c r="AA72" s="7"/>
      <c r="AB72" s="8">
        <f t="shared" si="8"/>
        <v>20523360</v>
      </c>
      <c r="AC72" s="248"/>
      <c r="AD72" s="249"/>
      <c r="AE72" s="249">
        <f t="shared" ref="AE72" si="12">+AB72-AD72</f>
        <v>20523360</v>
      </c>
      <c r="AF72" s="248"/>
      <c r="AG72" s="248"/>
      <c r="AH72" s="249"/>
      <c r="AI72" s="179">
        <f t="shared" ref="AI72" si="13">+AB72-AH72</f>
        <v>20523360</v>
      </c>
      <c r="AJ72" s="248"/>
      <c r="AK72" s="248"/>
      <c r="AL72" s="249"/>
      <c r="AM72" s="7" t="s">
        <v>62</v>
      </c>
    </row>
    <row r="73" spans="1:39" ht="104.25" customHeight="1" x14ac:dyDescent="0.3">
      <c r="A73" s="7" t="s">
        <v>247</v>
      </c>
      <c r="B73" s="61" t="s">
        <v>223</v>
      </c>
      <c r="C73" s="136" t="s">
        <v>248</v>
      </c>
      <c r="D73" s="70" t="s">
        <v>253</v>
      </c>
      <c r="E73" s="7" t="s">
        <v>262</v>
      </c>
      <c r="F73" s="58">
        <v>80111600</v>
      </c>
      <c r="G73" s="76" t="s">
        <v>263</v>
      </c>
      <c r="H73" s="77">
        <v>1</v>
      </c>
      <c r="I73" s="77">
        <v>1</v>
      </c>
      <c r="J73" s="77">
        <v>11</v>
      </c>
      <c r="K73" s="77">
        <v>1</v>
      </c>
      <c r="L73" s="78" t="s">
        <v>45</v>
      </c>
      <c r="M73" s="7" t="s">
        <v>46</v>
      </c>
      <c r="N73" s="158">
        <f>3732548*11</f>
        <v>41058028</v>
      </c>
      <c r="O73" s="7">
        <v>0</v>
      </c>
      <c r="P73" s="7">
        <v>0</v>
      </c>
      <c r="Q73" s="7" t="s">
        <v>47</v>
      </c>
      <c r="R73" s="7" t="s">
        <v>48</v>
      </c>
      <c r="S73" s="92" t="s">
        <v>264</v>
      </c>
      <c r="T73" s="91">
        <v>3846666</v>
      </c>
      <c r="U73" s="68" t="s">
        <v>265</v>
      </c>
      <c r="V73" s="7" t="s">
        <v>51</v>
      </c>
      <c r="W73" s="79" t="s">
        <v>52</v>
      </c>
      <c r="X73" s="77" t="s">
        <v>264</v>
      </c>
      <c r="Y73" s="7"/>
      <c r="Z73" s="7"/>
      <c r="AA73" s="7"/>
      <c r="AB73" s="8">
        <f t="shared" si="8"/>
        <v>41058028</v>
      </c>
      <c r="AC73" s="180">
        <v>921</v>
      </c>
      <c r="AD73" s="181">
        <v>41058028</v>
      </c>
      <c r="AE73" s="181">
        <f t="shared" si="10"/>
        <v>0</v>
      </c>
      <c r="AF73" s="275">
        <v>721</v>
      </c>
      <c r="AG73" s="291">
        <v>44215</v>
      </c>
      <c r="AH73" s="276">
        <v>41058028</v>
      </c>
      <c r="AI73" s="276">
        <f t="shared" si="11"/>
        <v>0</v>
      </c>
      <c r="AJ73" s="275" t="s">
        <v>266</v>
      </c>
      <c r="AK73" s="275" t="s">
        <v>267</v>
      </c>
      <c r="AL73" s="184">
        <f>1368601+3732548+3732548+3732548+3732548</f>
        <v>16298793</v>
      </c>
      <c r="AM73" s="7"/>
    </row>
    <row r="74" spans="1:39" ht="84" customHeight="1" x14ac:dyDescent="0.3">
      <c r="A74" s="7" t="s">
        <v>268</v>
      </c>
      <c r="B74" s="61" t="s">
        <v>223</v>
      </c>
      <c r="C74" s="282" t="s">
        <v>269</v>
      </c>
      <c r="D74" s="69" t="s">
        <v>270</v>
      </c>
      <c r="E74" s="7" t="s">
        <v>271</v>
      </c>
      <c r="F74" s="65">
        <v>81112200</v>
      </c>
      <c r="G74" s="81" t="s">
        <v>272</v>
      </c>
      <c r="H74" s="67">
        <v>1</v>
      </c>
      <c r="I74" s="67">
        <v>1</v>
      </c>
      <c r="J74" s="67">
        <v>10</v>
      </c>
      <c r="K74" s="67">
        <v>1</v>
      </c>
      <c r="L74" s="71" t="s">
        <v>45</v>
      </c>
      <c r="M74" s="7" t="s">
        <v>46</v>
      </c>
      <c r="N74" s="157">
        <f>2400000*10</f>
        <v>24000000</v>
      </c>
      <c r="O74" s="7">
        <v>0</v>
      </c>
      <c r="P74" s="7">
        <v>0</v>
      </c>
      <c r="Q74" s="7" t="s">
        <v>47</v>
      </c>
      <c r="R74" s="7" t="s">
        <v>48</v>
      </c>
      <c r="S74" s="91" t="s">
        <v>257</v>
      </c>
      <c r="T74" s="91">
        <v>3846666</v>
      </c>
      <c r="U74" s="68" t="s">
        <v>258</v>
      </c>
      <c r="V74" s="7" t="s">
        <v>51</v>
      </c>
      <c r="W74" s="69" t="s">
        <v>52</v>
      </c>
      <c r="X74" s="69" t="s">
        <v>273</v>
      </c>
      <c r="Y74" s="7"/>
      <c r="Z74" s="7"/>
      <c r="AA74" s="7"/>
      <c r="AB74" s="8">
        <f t="shared" si="8"/>
        <v>24000000</v>
      </c>
      <c r="AC74" s="180">
        <v>4721</v>
      </c>
      <c r="AD74" s="181">
        <v>24000000</v>
      </c>
      <c r="AE74" s="181">
        <f t="shared" si="10"/>
        <v>0</v>
      </c>
      <c r="AF74" s="275">
        <v>5421</v>
      </c>
      <c r="AG74" s="291">
        <v>44242</v>
      </c>
      <c r="AH74" s="276">
        <v>24000000</v>
      </c>
      <c r="AI74" s="276">
        <f t="shared" si="11"/>
        <v>0</v>
      </c>
      <c r="AJ74" s="275" t="s">
        <v>274</v>
      </c>
      <c r="AK74" s="275" t="s">
        <v>275</v>
      </c>
      <c r="AL74" s="184">
        <f>1200000+2400000+2400000+2400000+2400000</f>
        <v>10800000</v>
      </c>
      <c r="AM74" s="7"/>
    </row>
    <row r="75" spans="1:39" ht="84" customHeight="1" x14ac:dyDescent="0.3">
      <c r="A75" s="7" t="s">
        <v>268</v>
      </c>
      <c r="B75" s="61" t="s">
        <v>223</v>
      </c>
      <c r="C75" s="282" t="s">
        <v>269</v>
      </c>
      <c r="D75" s="69" t="s">
        <v>270</v>
      </c>
      <c r="E75" s="7" t="s">
        <v>271</v>
      </c>
      <c r="F75" s="65">
        <v>81112200</v>
      </c>
      <c r="G75" s="81" t="s">
        <v>276</v>
      </c>
      <c r="H75" s="67">
        <v>1</v>
      </c>
      <c r="I75" s="67">
        <v>1</v>
      </c>
      <c r="J75" s="67">
        <v>10</v>
      </c>
      <c r="K75" s="67">
        <v>1</v>
      </c>
      <c r="L75" s="71" t="s">
        <v>45</v>
      </c>
      <c r="M75" s="7" t="s">
        <v>46</v>
      </c>
      <c r="N75" s="157">
        <f>2400000*10</f>
        <v>24000000</v>
      </c>
      <c r="O75" s="7">
        <v>0</v>
      </c>
      <c r="P75" s="7">
        <v>0</v>
      </c>
      <c r="Q75" s="7" t="s">
        <v>47</v>
      </c>
      <c r="R75" s="7" t="s">
        <v>48</v>
      </c>
      <c r="S75" s="91" t="s">
        <v>257</v>
      </c>
      <c r="T75" s="91">
        <v>3846666</v>
      </c>
      <c r="U75" s="68" t="s">
        <v>258</v>
      </c>
      <c r="V75" s="7" t="s">
        <v>51</v>
      </c>
      <c r="W75" s="69" t="s">
        <v>52</v>
      </c>
      <c r="X75" s="69" t="s">
        <v>273</v>
      </c>
      <c r="Y75" s="7"/>
      <c r="Z75" s="7"/>
      <c r="AA75" s="7"/>
      <c r="AB75" s="8">
        <f t="shared" si="8"/>
        <v>24000000</v>
      </c>
      <c r="AC75" s="180">
        <v>4921</v>
      </c>
      <c r="AD75" s="181">
        <v>24000000</v>
      </c>
      <c r="AE75" s="181">
        <f t="shared" si="10"/>
        <v>0</v>
      </c>
      <c r="AF75" s="275">
        <v>5521</v>
      </c>
      <c r="AG75" s="291">
        <v>44243</v>
      </c>
      <c r="AH75" s="276">
        <v>24000000</v>
      </c>
      <c r="AI75" s="276">
        <f t="shared" si="11"/>
        <v>0</v>
      </c>
      <c r="AJ75" s="275" t="s">
        <v>277</v>
      </c>
      <c r="AK75" s="275" t="s">
        <v>278</v>
      </c>
      <c r="AL75" s="184">
        <f>1120000+2400000+2400000</f>
        <v>5920000</v>
      </c>
      <c r="AM75" s="7"/>
    </row>
    <row r="76" spans="1:39" ht="104.25" customHeight="1" x14ac:dyDescent="0.3">
      <c r="A76" s="7" t="s">
        <v>268</v>
      </c>
      <c r="B76" s="61" t="s">
        <v>223</v>
      </c>
      <c r="C76" s="282" t="s">
        <v>269</v>
      </c>
      <c r="D76" s="69" t="s">
        <v>270</v>
      </c>
      <c r="E76" s="7" t="s">
        <v>271</v>
      </c>
      <c r="F76" s="65">
        <v>81112200</v>
      </c>
      <c r="G76" s="81" t="s">
        <v>279</v>
      </c>
      <c r="H76" s="67">
        <v>1</v>
      </c>
      <c r="I76" s="67">
        <v>1</v>
      </c>
      <c r="J76" s="67">
        <v>11</v>
      </c>
      <c r="K76" s="67">
        <v>1</v>
      </c>
      <c r="L76" s="7" t="s">
        <v>189</v>
      </c>
      <c r="M76" s="7" t="s">
        <v>46</v>
      </c>
      <c r="N76" s="157">
        <v>1500000</v>
      </c>
      <c r="O76" s="7">
        <v>0</v>
      </c>
      <c r="P76" s="7">
        <v>0</v>
      </c>
      <c r="Q76" s="7" t="s">
        <v>47</v>
      </c>
      <c r="R76" s="7" t="s">
        <v>48</v>
      </c>
      <c r="S76" s="91" t="s">
        <v>257</v>
      </c>
      <c r="T76" s="91">
        <v>3846666</v>
      </c>
      <c r="U76" s="68" t="s">
        <v>258</v>
      </c>
      <c r="V76" s="7" t="s">
        <v>51</v>
      </c>
      <c r="W76" s="69" t="s">
        <v>86</v>
      </c>
      <c r="X76" s="69" t="s">
        <v>280</v>
      </c>
      <c r="Y76" s="7"/>
      <c r="Z76" s="7"/>
      <c r="AA76" s="7"/>
      <c r="AB76" s="8">
        <f t="shared" ref="AB76:AB108" si="14">+N76+Y76+Z76-AA76</f>
        <v>1500000</v>
      </c>
      <c r="AC76" s="180">
        <v>5921</v>
      </c>
      <c r="AD76" s="181">
        <f>1500000-548000</f>
        <v>952000</v>
      </c>
      <c r="AE76" s="181">
        <f t="shared" si="10"/>
        <v>548000</v>
      </c>
      <c r="AF76" s="275">
        <v>7021</v>
      </c>
      <c r="AG76" s="291">
        <v>44258</v>
      </c>
      <c r="AH76" s="276">
        <v>952000</v>
      </c>
      <c r="AI76" s="276">
        <f t="shared" si="11"/>
        <v>548000</v>
      </c>
      <c r="AJ76" s="275" t="s">
        <v>281</v>
      </c>
      <c r="AK76" s="275" t="s">
        <v>282</v>
      </c>
      <c r="AL76" s="184">
        <v>952000</v>
      </c>
      <c r="AM76" s="7"/>
    </row>
    <row r="77" spans="1:39" ht="104.25" customHeight="1" x14ac:dyDescent="0.3">
      <c r="A77" s="7" t="s">
        <v>268</v>
      </c>
      <c r="B77" s="61" t="s">
        <v>223</v>
      </c>
      <c r="C77" s="282" t="s">
        <v>269</v>
      </c>
      <c r="D77" s="69" t="s">
        <v>270</v>
      </c>
      <c r="E77" s="7" t="s">
        <v>271</v>
      </c>
      <c r="F77" s="65">
        <v>43231513</v>
      </c>
      <c r="G77" s="82" t="s">
        <v>283</v>
      </c>
      <c r="H77" s="67">
        <v>10</v>
      </c>
      <c r="I77" s="67">
        <v>11</v>
      </c>
      <c r="J77" s="67">
        <v>1</v>
      </c>
      <c r="K77" s="67">
        <v>1</v>
      </c>
      <c r="L77" s="71" t="s">
        <v>284</v>
      </c>
      <c r="M77" s="7" t="s">
        <v>46</v>
      </c>
      <c r="N77" s="157">
        <v>4100000</v>
      </c>
      <c r="O77" s="7">
        <v>0</v>
      </c>
      <c r="P77" s="7">
        <v>0</v>
      </c>
      <c r="Q77" s="7" t="s">
        <v>47</v>
      </c>
      <c r="R77" s="7" t="s">
        <v>48</v>
      </c>
      <c r="S77" s="91" t="s">
        <v>257</v>
      </c>
      <c r="T77" s="91">
        <v>3846666</v>
      </c>
      <c r="U77" s="68" t="s">
        <v>258</v>
      </c>
      <c r="V77" s="7" t="s">
        <v>51</v>
      </c>
      <c r="W77" s="83" t="s">
        <v>285</v>
      </c>
      <c r="X77" s="69" t="s">
        <v>273</v>
      </c>
      <c r="Y77" s="7"/>
      <c r="Z77" s="7"/>
      <c r="AA77" s="7"/>
      <c r="AB77" s="8">
        <f t="shared" si="14"/>
        <v>4100000</v>
      </c>
      <c r="AC77" s="248"/>
      <c r="AD77" s="249"/>
      <c r="AE77" s="249">
        <f t="shared" si="10"/>
        <v>4100000</v>
      </c>
      <c r="AF77" s="248"/>
      <c r="AG77" s="248"/>
      <c r="AH77" s="249"/>
      <c r="AI77" s="249">
        <f t="shared" si="11"/>
        <v>4100000</v>
      </c>
      <c r="AJ77" s="248"/>
      <c r="AK77" s="248"/>
      <c r="AL77" s="249"/>
      <c r="AM77" s="7"/>
    </row>
    <row r="78" spans="1:39" ht="104.25" customHeight="1" x14ac:dyDescent="0.3">
      <c r="A78" s="7" t="s">
        <v>268</v>
      </c>
      <c r="B78" s="61" t="s">
        <v>223</v>
      </c>
      <c r="C78" s="282" t="s">
        <v>269</v>
      </c>
      <c r="D78" s="69" t="s">
        <v>270</v>
      </c>
      <c r="E78" s="7" t="s">
        <v>271</v>
      </c>
      <c r="F78" s="65">
        <v>43231513</v>
      </c>
      <c r="G78" s="82" t="s">
        <v>283</v>
      </c>
      <c r="H78" s="67">
        <v>10</v>
      </c>
      <c r="I78" s="67">
        <v>11</v>
      </c>
      <c r="J78" s="67">
        <v>1</v>
      </c>
      <c r="K78" s="67">
        <v>1</v>
      </c>
      <c r="L78" s="71" t="s">
        <v>284</v>
      </c>
      <c r="M78" s="7" t="s">
        <v>121</v>
      </c>
      <c r="N78" s="157">
        <v>35000000</v>
      </c>
      <c r="O78" s="7">
        <v>0</v>
      </c>
      <c r="P78" s="7">
        <v>0</v>
      </c>
      <c r="Q78" s="7" t="s">
        <v>47</v>
      </c>
      <c r="R78" s="7" t="s">
        <v>48</v>
      </c>
      <c r="S78" s="91" t="s">
        <v>257</v>
      </c>
      <c r="T78" s="91">
        <v>3846666</v>
      </c>
      <c r="U78" s="68" t="s">
        <v>258</v>
      </c>
      <c r="V78" s="7" t="s">
        <v>51</v>
      </c>
      <c r="W78" s="83" t="s">
        <v>285</v>
      </c>
      <c r="X78" s="69" t="s">
        <v>273</v>
      </c>
      <c r="Y78" s="7"/>
      <c r="Z78" s="7"/>
      <c r="AA78" s="7"/>
      <c r="AB78" s="8">
        <f t="shared" si="14"/>
        <v>35000000</v>
      </c>
      <c r="AC78" s="248"/>
      <c r="AD78" s="249"/>
      <c r="AE78" s="249">
        <f t="shared" si="10"/>
        <v>35000000</v>
      </c>
      <c r="AF78" s="248"/>
      <c r="AG78" s="248"/>
      <c r="AH78" s="249"/>
      <c r="AI78" s="249">
        <f t="shared" si="11"/>
        <v>35000000</v>
      </c>
      <c r="AJ78" s="248"/>
      <c r="AK78" s="248"/>
      <c r="AL78" s="249"/>
      <c r="AM78" s="7"/>
    </row>
    <row r="79" spans="1:39" ht="104.25" customHeight="1" x14ac:dyDescent="0.3">
      <c r="A79" s="7" t="s">
        <v>268</v>
      </c>
      <c r="B79" s="61" t="s">
        <v>223</v>
      </c>
      <c r="C79" s="282" t="s">
        <v>269</v>
      </c>
      <c r="D79" s="69" t="s">
        <v>270</v>
      </c>
      <c r="E79" s="7" t="s">
        <v>271</v>
      </c>
      <c r="F79" s="65">
        <v>81112501</v>
      </c>
      <c r="G79" s="82" t="s">
        <v>286</v>
      </c>
      <c r="H79" s="67">
        <v>5</v>
      </c>
      <c r="I79" s="67">
        <v>6</v>
      </c>
      <c r="J79" s="67">
        <v>1</v>
      </c>
      <c r="K79" s="67">
        <v>1</v>
      </c>
      <c r="L79" s="7" t="s">
        <v>189</v>
      </c>
      <c r="M79" s="7" t="s">
        <v>46</v>
      </c>
      <c r="N79" s="157">
        <f>23000000-4020740</f>
        <v>18979260</v>
      </c>
      <c r="O79" s="7">
        <v>0</v>
      </c>
      <c r="P79" s="7">
        <v>0</v>
      </c>
      <c r="Q79" s="7" t="s">
        <v>47</v>
      </c>
      <c r="R79" s="7" t="s">
        <v>48</v>
      </c>
      <c r="S79" s="91" t="s">
        <v>257</v>
      </c>
      <c r="T79" s="91">
        <v>3846666</v>
      </c>
      <c r="U79" s="68" t="s">
        <v>258</v>
      </c>
      <c r="V79" s="7" t="s">
        <v>51</v>
      </c>
      <c r="W79" s="84" t="s">
        <v>285</v>
      </c>
      <c r="X79" s="69" t="s">
        <v>287</v>
      </c>
      <c r="Y79" s="7"/>
      <c r="Z79" s="7"/>
      <c r="AA79" s="7"/>
      <c r="AB79" s="8">
        <f t="shared" si="14"/>
        <v>18979260</v>
      </c>
      <c r="AC79" s="248"/>
      <c r="AD79" s="249"/>
      <c r="AE79" s="249">
        <f t="shared" si="10"/>
        <v>18979260</v>
      </c>
      <c r="AF79" s="248"/>
      <c r="AG79" s="248"/>
      <c r="AH79" s="249"/>
      <c r="AI79" s="179">
        <f t="shared" si="11"/>
        <v>18979260</v>
      </c>
      <c r="AJ79" s="248"/>
      <c r="AK79" s="248"/>
      <c r="AL79" s="249"/>
      <c r="AM79" s="7"/>
    </row>
    <row r="80" spans="1:39" ht="104.25" customHeight="1" x14ac:dyDescent="0.3">
      <c r="A80" s="7" t="s">
        <v>268</v>
      </c>
      <c r="B80" s="61" t="s">
        <v>223</v>
      </c>
      <c r="C80" s="282" t="s">
        <v>269</v>
      </c>
      <c r="D80" s="69" t="s">
        <v>270</v>
      </c>
      <c r="E80" s="7" t="s">
        <v>271</v>
      </c>
      <c r="F80" s="65">
        <v>81112501</v>
      </c>
      <c r="G80" s="82" t="s">
        <v>286</v>
      </c>
      <c r="H80" s="67">
        <v>5</v>
      </c>
      <c r="I80" s="67">
        <v>6</v>
      </c>
      <c r="J80" s="67">
        <v>1</v>
      </c>
      <c r="K80" s="67">
        <v>1</v>
      </c>
      <c r="L80" s="7" t="s">
        <v>189</v>
      </c>
      <c r="M80" s="7" t="s">
        <v>121</v>
      </c>
      <c r="N80" s="157">
        <v>4020740</v>
      </c>
      <c r="O80" s="7">
        <v>0</v>
      </c>
      <c r="P80" s="7">
        <v>0</v>
      </c>
      <c r="Q80" s="7" t="s">
        <v>47</v>
      </c>
      <c r="R80" s="7" t="s">
        <v>48</v>
      </c>
      <c r="S80" s="91" t="s">
        <v>257</v>
      </c>
      <c r="T80" s="91">
        <v>3846666</v>
      </c>
      <c r="U80" s="68" t="s">
        <v>258</v>
      </c>
      <c r="V80" s="7" t="s">
        <v>51</v>
      </c>
      <c r="W80" s="84" t="s">
        <v>285</v>
      </c>
      <c r="X80" s="69" t="s">
        <v>287</v>
      </c>
      <c r="Y80" s="7"/>
      <c r="Z80" s="7"/>
      <c r="AA80" s="7"/>
      <c r="AB80" s="8">
        <f t="shared" si="14"/>
        <v>4020740</v>
      </c>
      <c r="AC80" s="248"/>
      <c r="AD80" s="249"/>
      <c r="AE80" s="249">
        <f t="shared" si="10"/>
        <v>4020740</v>
      </c>
      <c r="AF80" s="248"/>
      <c r="AG80" s="248"/>
      <c r="AH80" s="249"/>
      <c r="AI80" s="179">
        <f t="shared" si="11"/>
        <v>4020740</v>
      </c>
      <c r="AJ80" s="248"/>
      <c r="AK80" s="248"/>
      <c r="AL80" s="249"/>
      <c r="AM80" s="7"/>
    </row>
    <row r="81" spans="1:39" ht="104.25" customHeight="1" x14ac:dyDescent="0.3">
      <c r="A81" s="7" t="s">
        <v>268</v>
      </c>
      <c r="B81" s="61" t="s">
        <v>223</v>
      </c>
      <c r="C81" s="282" t="s">
        <v>269</v>
      </c>
      <c r="D81" s="69" t="s">
        <v>270</v>
      </c>
      <c r="E81" s="7" t="s">
        <v>271</v>
      </c>
      <c r="F81" s="65">
        <v>81112100</v>
      </c>
      <c r="G81" s="99" t="s">
        <v>288</v>
      </c>
      <c r="H81" s="67">
        <v>3</v>
      </c>
      <c r="I81" s="67">
        <v>3</v>
      </c>
      <c r="J81" s="67">
        <v>11</v>
      </c>
      <c r="K81" s="67">
        <v>1</v>
      </c>
      <c r="L81" s="71" t="s">
        <v>157</v>
      </c>
      <c r="M81" s="91" t="s">
        <v>46</v>
      </c>
      <c r="N81" s="157">
        <v>56000000</v>
      </c>
      <c r="O81" s="7">
        <v>0</v>
      </c>
      <c r="P81" s="7">
        <v>0</v>
      </c>
      <c r="Q81" s="7" t="s">
        <v>47</v>
      </c>
      <c r="R81" s="7" t="s">
        <v>48</v>
      </c>
      <c r="S81" s="91" t="s">
        <v>257</v>
      </c>
      <c r="T81" s="91">
        <v>3846666</v>
      </c>
      <c r="U81" s="68" t="s">
        <v>258</v>
      </c>
      <c r="V81" s="7" t="s">
        <v>51</v>
      </c>
      <c r="W81" s="69" t="s">
        <v>86</v>
      </c>
      <c r="X81" s="69" t="s">
        <v>273</v>
      </c>
      <c r="Y81" s="7"/>
      <c r="Z81" s="7"/>
      <c r="AA81" s="7"/>
      <c r="AB81" s="8">
        <f t="shared" si="14"/>
        <v>56000000</v>
      </c>
      <c r="AC81" s="180">
        <v>4521</v>
      </c>
      <c r="AD81" s="181">
        <f>56000000-7642383</f>
        <v>48357617</v>
      </c>
      <c r="AE81" s="181">
        <f t="shared" si="10"/>
        <v>7642383</v>
      </c>
      <c r="AF81" s="275">
        <v>5221</v>
      </c>
      <c r="AG81" s="291">
        <v>44237</v>
      </c>
      <c r="AH81" s="276">
        <v>48357617</v>
      </c>
      <c r="AI81" s="276">
        <f t="shared" si="11"/>
        <v>7642383</v>
      </c>
      <c r="AJ81" s="275" t="s">
        <v>289</v>
      </c>
      <c r="AK81" s="294" t="s">
        <v>290</v>
      </c>
      <c r="AL81" s="184">
        <f>4526938.8+4396147+4396147</f>
        <v>13319232.800000001</v>
      </c>
      <c r="AM81" s="7"/>
    </row>
    <row r="82" spans="1:39" ht="84" customHeight="1" x14ac:dyDescent="0.3">
      <c r="A82" s="7" t="s">
        <v>268</v>
      </c>
      <c r="B82" s="61" t="s">
        <v>223</v>
      </c>
      <c r="C82" s="282" t="s">
        <v>269</v>
      </c>
      <c r="D82" s="69" t="s">
        <v>270</v>
      </c>
      <c r="E82" s="7" t="s">
        <v>271</v>
      </c>
      <c r="F82" s="65">
        <v>81112215</v>
      </c>
      <c r="G82" s="279" t="s">
        <v>291</v>
      </c>
      <c r="H82" s="67">
        <v>1</v>
      </c>
      <c r="I82" s="67">
        <v>1</v>
      </c>
      <c r="J82" s="67">
        <v>10</v>
      </c>
      <c r="K82" s="67">
        <v>1</v>
      </c>
      <c r="L82" s="71" t="s">
        <v>45</v>
      </c>
      <c r="M82" s="91" t="s">
        <v>46</v>
      </c>
      <c r="N82" s="157">
        <f>2950000*10</f>
        <v>29500000</v>
      </c>
      <c r="O82" s="7">
        <v>0</v>
      </c>
      <c r="P82" s="7">
        <v>0</v>
      </c>
      <c r="Q82" s="7" t="s">
        <v>47</v>
      </c>
      <c r="R82" s="7" t="s">
        <v>48</v>
      </c>
      <c r="S82" s="91" t="s">
        <v>257</v>
      </c>
      <c r="T82" s="91">
        <v>3846666</v>
      </c>
      <c r="U82" s="68" t="s">
        <v>258</v>
      </c>
      <c r="V82" s="7" t="s">
        <v>51</v>
      </c>
      <c r="W82" s="69" t="s">
        <v>52</v>
      </c>
      <c r="X82" s="69" t="s">
        <v>273</v>
      </c>
      <c r="Y82" s="7"/>
      <c r="Z82" s="7"/>
      <c r="AA82" s="7"/>
      <c r="AB82" s="8">
        <f t="shared" si="14"/>
        <v>29500000</v>
      </c>
      <c r="AC82" s="180">
        <v>4821</v>
      </c>
      <c r="AD82" s="181">
        <v>29500000</v>
      </c>
      <c r="AE82" s="181">
        <f>+AB82-AD82</f>
        <v>0</v>
      </c>
      <c r="AF82" s="275">
        <v>5321</v>
      </c>
      <c r="AG82" s="291">
        <v>44242</v>
      </c>
      <c r="AH82" s="276">
        <v>29500000</v>
      </c>
      <c r="AI82" s="276">
        <f t="shared" si="11"/>
        <v>0</v>
      </c>
      <c r="AJ82" s="275" t="s">
        <v>292</v>
      </c>
      <c r="AK82" s="275" t="s">
        <v>293</v>
      </c>
      <c r="AL82" s="184">
        <f>1475000+2950000+2950000+2950000</f>
        <v>10325000</v>
      </c>
      <c r="AM82" s="7"/>
    </row>
    <row r="83" spans="1:39" ht="104.25" customHeight="1" x14ac:dyDescent="0.3">
      <c r="A83" s="7" t="s">
        <v>268</v>
      </c>
      <c r="B83" s="61" t="s">
        <v>223</v>
      </c>
      <c r="C83" s="282" t="s">
        <v>269</v>
      </c>
      <c r="D83" s="69" t="s">
        <v>294</v>
      </c>
      <c r="E83" s="7" t="s">
        <v>271</v>
      </c>
      <c r="F83" s="65">
        <v>81111812</v>
      </c>
      <c r="G83" s="279" t="s">
        <v>295</v>
      </c>
      <c r="H83" s="67">
        <v>6</v>
      </c>
      <c r="I83" s="67">
        <v>6</v>
      </c>
      <c r="J83" s="67">
        <v>6</v>
      </c>
      <c r="K83" s="67">
        <v>1</v>
      </c>
      <c r="L83" s="7" t="s">
        <v>189</v>
      </c>
      <c r="M83" s="91" t="s">
        <v>46</v>
      </c>
      <c r="N83" s="157">
        <v>3450000</v>
      </c>
      <c r="O83" s="7">
        <v>0</v>
      </c>
      <c r="P83" s="7">
        <v>0</v>
      </c>
      <c r="Q83" s="7" t="s">
        <v>47</v>
      </c>
      <c r="R83" s="7" t="s">
        <v>48</v>
      </c>
      <c r="S83" s="91" t="s">
        <v>257</v>
      </c>
      <c r="T83" s="91">
        <v>3846666</v>
      </c>
      <c r="U83" s="68" t="s">
        <v>258</v>
      </c>
      <c r="V83" s="7" t="s">
        <v>51</v>
      </c>
      <c r="W83" s="69" t="s">
        <v>86</v>
      </c>
      <c r="X83" s="69" t="s">
        <v>296</v>
      </c>
      <c r="Y83" s="7"/>
      <c r="Z83" s="7"/>
      <c r="AA83" s="7"/>
      <c r="AB83" s="8">
        <f t="shared" si="14"/>
        <v>3450000</v>
      </c>
      <c r="AC83" s="180">
        <v>11521</v>
      </c>
      <c r="AD83" s="181">
        <v>3450000</v>
      </c>
      <c r="AE83" s="181">
        <f t="shared" si="10"/>
        <v>0</v>
      </c>
      <c r="AF83" s="248"/>
      <c r="AG83" s="248"/>
      <c r="AH83" s="249"/>
      <c r="AI83" s="249">
        <f t="shared" si="11"/>
        <v>3450000</v>
      </c>
      <c r="AJ83" s="248"/>
      <c r="AK83" s="248"/>
      <c r="AL83" s="249"/>
      <c r="AM83" s="7"/>
    </row>
    <row r="84" spans="1:39" s="269" customFormat="1" ht="104.25" customHeight="1" x14ac:dyDescent="0.3">
      <c r="A84" s="274" t="s">
        <v>268</v>
      </c>
      <c r="B84" s="61" t="s">
        <v>223</v>
      </c>
      <c r="C84" s="282" t="s">
        <v>269</v>
      </c>
      <c r="D84" s="69" t="s">
        <v>294</v>
      </c>
      <c r="E84" s="7" t="s">
        <v>271</v>
      </c>
      <c r="F84" s="65" t="s">
        <v>297</v>
      </c>
      <c r="G84" s="279" t="s">
        <v>298</v>
      </c>
      <c r="H84" s="67">
        <v>5</v>
      </c>
      <c r="I84" s="67">
        <v>6</v>
      </c>
      <c r="J84" s="67">
        <v>6</v>
      </c>
      <c r="K84" s="67">
        <v>1</v>
      </c>
      <c r="L84" s="7" t="s">
        <v>189</v>
      </c>
      <c r="M84" s="91" t="s">
        <v>46</v>
      </c>
      <c r="N84" s="157">
        <v>5400000</v>
      </c>
      <c r="O84" s="7">
        <v>0</v>
      </c>
      <c r="P84" s="7">
        <v>0</v>
      </c>
      <c r="Q84" s="7" t="s">
        <v>47</v>
      </c>
      <c r="R84" s="7" t="s">
        <v>48</v>
      </c>
      <c r="S84" s="91" t="s">
        <v>257</v>
      </c>
      <c r="T84" s="91">
        <v>3846666</v>
      </c>
      <c r="U84" s="68" t="s">
        <v>258</v>
      </c>
      <c r="V84" s="7" t="s">
        <v>51</v>
      </c>
      <c r="W84" s="69" t="s">
        <v>86</v>
      </c>
      <c r="X84" s="69" t="s">
        <v>296</v>
      </c>
      <c r="Y84" s="7"/>
      <c r="Z84" s="7"/>
      <c r="AA84" s="7"/>
      <c r="AB84" s="8">
        <f t="shared" si="14"/>
        <v>5400000</v>
      </c>
      <c r="AC84" s="180">
        <v>10521</v>
      </c>
      <c r="AD84" s="181">
        <v>5400000</v>
      </c>
      <c r="AE84" s="181">
        <f t="shared" si="10"/>
        <v>0</v>
      </c>
      <c r="AF84" s="241"/>
      <c r="AG84" s="241"/>
      <c r="AH84" s="242"/>
      <c r="AI84" s="242">
        <f t="shared" si="11"/>
        <v>5400000</v>
      </c>
      <c r="AJ84" s="241"/>
      <c r="AK84" s="241"/>
      <c r="AL84" s="184"/>
      <c r="AM84" s="268"/>
    </row>
    <row r="85" spans="1:39" ht="104.25" customHeight="1" x14ac:dyDescent="0.3">
      <c r="A85" s="7" t="s">
        <v>268</v>
      </c>
      <c r="B85" s="61" t="s">
        <v>223</v>
      </c>
      <c r="C85" s="282" t="s">
        <v>269</v>
      </c>
      <c r="D85" s="69" t="s">
        <v>294</v>
      </c>
      <c r="E85" s="7" t="s">
        <v>271</v>
      </c>
      <c r="F85" s="66">
        <v>43233205</v>
      </c>
      <c r="G85" s="279" t="s">
        <v>299</v>
      </c>
      <c r="H85" s="67">
        <v>6</v>
      </c>
      <c r="I85" s="67">
        <v>6</v>
      </c>
      <c r="J85" s="67">
        <v>1</v>
      </c>
      <c r="K85" s="67">
        <v>1</v>
      </c>
      <c r="L85" s="7" t="s">
        <v>189</v>
      </c>
      <c r="M85" s="91" t="s">
        <v>46</v>
      </c>
      <c r="N85" s="157">
        <v>14500000</v>
      </c>
      <c r="O85" s="7">
        <v>0</v>
      </c>
      <c r="P85" s="7">
        <v>0</v>
      </c>
      <c r="Q85" s="7" t="s">
        <v>47</v>
      </c>
      <c r="R85" s="7" t="s">
        <v>48</v>
      </c>
      <c r="S85" s="91" t="s">
        <v>257</v>
      </c>
      <c r="T85" s="91">
        <v>3846666</v>
      </c>
      <c r="U85" s="68" t="s">
        <v>258</v>
      </c>
      <c r="V85" s="7" t="s">
        <v>51</v>
      </c>
      <c r="W85" s="84" t="s">
        <v>199</v>
      </c>
      <c r="X85" s="69" t="s">
        <v>287</v>
      </c>
      <c r="Y85" s="7"/>
      <c r="Z85" s="7"/>
      <c r="AA85" s="7"/>
      <c r="AB85" s="8">
        <f t="shared" si="14"/>
        <v>14500000</v>
      </c>
      <c r="AC85" s="248"/>
      <c r="AD85" s="249"/>
      <c r="AE85" s="249">
        <f t="shared" si="10"/>
        <v>14500000</v>
      </c>
      <c r="AF85" s="248"/>
      <c r="AG85" s="248"/>
      <c r="AH85" s="249"/>
      <c r="AI85" s="249">
        <f t="shared" si="11"/>
        <v>14500000</v>
      </c>
      <c r="AJ85" s="248"/>
      <c r="AK85" s="248"/>
      <c r="AL85" s="249"/>
      <c r="AM85" s="7"/>
    </row>
    <row r="86" spans="1:39" ht="104.25" customHeight="1" x14ac:dyDescent="0.3">
      <c r="A86" s="91" t="s">
        <v>268</v>
      </c>
      <c r="B86" s="61" t="s">
        <v>223</v>
      </c>
      <c r="C86" s="282" t="s">
        <v>269</v>
      </c>
      <c r="D86" s="69" t="s">
        <v>294</v>
      </c>
      <c r="E86" s="7" t="s">
        <v>271</v>
      </c>
      <c r="F86" s="85">
        <v>81112200</v>
      </c>
      <c r="G86" s="279" t="s">
        <v>300</v>
      </c>
      <c r="H86" s="67">
        <v>5</v>
      </c>
      <c r="I86" s="67">
        <v>6</v>
      </c>
      <c r="J86" s="67" t="s">
        <v>301</v>
      </c>
      <c r="K86" s="7">
        <v>0</v>
      </c>
      <c r="L86" s="7" t="s">
        <v>189</v>
      </c>
      <c r="M86" s="91" t="s">
        <v>46</v>
      </c>
      <c r="N86" s="157">
        <f>15000000-14369735</f>
        <v>630265</v>
      </c>
      <c r="O86" s="7">
        <v>0</v>
      </c>
      <c r="P86" s="7">
        <v>0</v>
      </c>
      <c r="Q86" s="7" t="s">
        <v>47</v>
      </c>
      <c r="R86" s="7" t="s">
        <v>48</v>
      </c>
      <c r="S86" s="91" t="s">
        <v>257</v>
      </c>
      <c r="T86" s="91">
        <v>3846666</v>
      </c>
      <c r="U86" s="68" t="s">
        <v>258</v>
      </c>
      <c r="V86" s="7" t="s">
        <v>51</v>
      </c>
      <c r="W86" s="83" t="s">
        <v>285</v>
      </c>
      <c r="X86" s="69" t="s">
        <v>296</v>
      </c>
      <c r="Y86" s="7"/>
      <c r="Z86" s="7"/>
      <c r="AA86" s="7"/>
      <c r="AB86" s="8">
        <f t="shared" si="14"/>
        <v>630265</v>
      </c>
      <c r="AC86" s="180">
        <v>10621</v>
      </c>
      <c r="AD86" s="181">
        <v>536563</v>
      </c>
      <c r="AE86" s="181">
        <f t="shared" si="10"/>
        <v>93702</v>
      </c>
      <c r="AF86" s="275">
        <v>12421</v>
      </c>
      <c r="AG86" s="277" t="s">
        <v>302</v>
      </c>
      <c r="AH86" s="276">
        <v>536563</v>
      </c>
      <c r="AI86" s="276">
        <f>+AB86-AH86</f>
        <v>93702</v>
      </c>
      <c r="AJ86" s="275"/>
      <c r="AK86" s="275"/>
      <c r="AL86" s="184"/>
      <c r="AM86" s="268"/>
    </row>
    <row r="87" spans="1:39" ht="104.25" customHeight="1" x14ac:dyDescent="0.3">
      <c r="A87" s="91" t="s">
        <v>268</v>
      </c>
      <c r="B87" s="61" t="s">
        <v>223</v>
      </c>
      <c r="C87" s="282" t="s">
        <v>269</v>
      </c>
      <c r="D87" s="69" t="s">
        <v>294</v>
      </c>
      <c r="E87" s="7" t="s">
        <v>271</v>
      </c>
      <c r="F87" s="85">
        <v>81112200</v>
      </c>
      <c r="G87" s="279" t="s">
        <v>300</v>
      </c>
      <c r="H87" s="67">
        <v>5</v>
      </c>
      <c r="I87" s="67">
        <v>6</v>
      </c>
      <c r="J87" s="67" t="s">
        <v>301</v>
      </c>
      <c r="K87" s="7">
        <v>0</v>
      </c>
      <c r="L87" s="7" t="s">
        <v>189</v>
      </c>
      <c r="M87" s="91" t="s">
        <v>303</v>
      </c>
      <c r="N87" s="157">
        <v>14369735</v>
      </c>
      <c r="O87" s="7">
        <v>0</v>
      </c>
      <c r="P87" s="7">
        <v>0</v>
      </c>
      <c r="Q87" s="7" t="s">
        <v>47</v>
      </c>
      <c r="R87" s="7" t="s">
        <v>48</v>
      </c>
      <c r="S87" s="91" t="s">
        <v>257</v>
      </c>
      <c r="T87" s="91">
        <v>3846666</v>
      </c>
      <c r="U87" s="68" t="s">
        <v>258</v>
      </c>
      <c r="V87" s="7" t="s">
        <v>51</v>
      </c>
      <c r="W87" s="83" t="s">
        <v>285</v>
      </c>
      <c r="X87" s="69" t="s">
        <v>296</v>
      </c>
      <c r="Y87" s="7"/>
      <c r="Z87" s="7"/>
      <c r="AA87" s="7"/>
      <c r="AB87" s="8">
        <f t="shared" si="14"/>
        <v>14369735</v>
      </c>
      <c r="AC87" s="180">
        <v>10621</v>
      </c>
      <c r="AD87" s="181">
        <v>14369735</v>
      </c>
      <c r="AE87" s="181">
        <f t="shared" si="10"/>
        <v>0</v>
      </c>
      <c r="AF87" s="275">
        <v>12421</v>
      </c>
      <c r="AG87" s="277" t="s">
        <v>302</v>
      </c>
      <c r="AH87" s="277">
        <v>10040209</v>
      </c>
      <c r="AI87" s="276">
        <f>+AB87-AH87</f>
        <v>4329526</v>
      </c>
      <c r="AJ87" s="275"/>
      <c r="AK87" s="275"/>
      <c r="AL87" s="184"/>
      <c r="AM87" s="268"/>
    </row>
    <row r="88" spans="1:39" ht="104.25" customHeight="1" x14ac:dyDescent="0.3">
      <c r="A88" s="7" t="s">
        <v>268</v>
      </c>
      <c r="B88" s="61" t="s">
        <v>223</v>
      </c>
      <c r="C88" s="282" t="s">
        <v>269</v>
      </c>
      <c r="D88" s="69" t="s">
        <v>294</v>
      </c>
      <c r="E88" s="7" t="s">
        <v>271</v>
      </c>
      <c r="F88" s="86">
        <v>81112200</v>
      </c>
      <c r="G88" s="279" t="s">
        <v>304</v>
      </c>
      <c r="H88" s="67">
        <v>1</v>
      </c>
      <c r="I88" s="67">
        <v>1</v>
      </c>
      <c r="J88" s="67">
        <v>11</v>
      </c>
      <c r="K88" s="67">
        <v>1</v>
      </c>
      <c r="L88" s="7" t="s">
        <v>189</v>
      </c>
      <c r="M88" s="91" t="s">
        <v>46</v>
      </c>
      <c r="N88" s="157">
        <v>24000000</v>
      </c>
      <c r="O88" s="7">
        <v>0</v>
      </c>
      <c r="P88" s="7">
        <v>0</v>
      </c>
      <c r="Q88" s="7" t="s">
        <v>47</v>
      </c>
      <c r="R88" s="7" t="s">
        <v>48</v>
      </c>
      <c r="S88" s="91" t="s">
        <v>257</v>
      </c>
      <c r="T88" s="91">
        <v>3846666</v>
      </c>
      <c r="U88" s="68" t="s">
        <v>258</v>
      </c>
      <c r="V88" s="7" t="s">
        <v>51</v>
      </c>
      <c r="W88" s="69" t="s">
        <v>86</v>
      </c>
      <c r="X88" s="69" t="s">
        <v>296</v>
      </c>
      <c r="Y88" s="7"/>
      <c r="Z88" s="7"/>
      <c r="AA88" s="7"/>
      <c r="AB88" s="8">
        <f t="shared" si="14"/>
        <v>24000000</v>
      </c>
      <c r="AC88" s="180">
        <v>3621</v>
      </c>
      <c r="AD88" s="181">
        <f>16334650-4821400</f>
        <v>11513250</v>
      </c>
      <c r="AE88" s="181">
        <f t="shared" si="10"/>
        <v>12486750</v>
      </c>
      <c r="AF88" s="275">
        <v>4521</v>
      </c>
      <c r="AG88" s="291">
        <v>44229</v>
      </c>
      <c r="AH88" s="276">
        <f>16334650-4821400</f>
        <v>11513250</v>
      </c>
      <c r="AI88" s="276">
        <f t="shared" si="11"/>
        <v>12486750</v>
      </c>
      <c r="AJ88" s="275" t="s">
        <v>305</v>
      </c>
      <c r="AK88" s="275" t="s">
        <v>306</v>
      </c>
      <c r="AL88" s="184">
        <f>1612450+2130100+2820300</f>
        <v>6562850</v>
      </c>
      <c r="AM88" s="7"/>
    </row>
    <row r="89" spans="1:39" ht="104.25" customHeight="1" x14ac:dyDescent="0.3">
      <c r="A89" s="91" t="s">
        <v>268</v>
      </c>
      <c r="B89" s="61" t="s">
        <v>223</v>
      </c>
      <c r="C89" s="282" t="s">
        <v>269</v>
      </c>
      <c r="D89" s="75" t="s">
        <v>294</v>
      </c>
      <c r="E89" s="91" t="s">
        <v>271</v>
      </c>
      <c r="F89" s="307">
        <v>81112220</v>
      </c>
      <c r="G89" s="279" t="s">
        <v>307</v>
      </c>
      <c r="H89" s="72">
        <v>5</v>
      </c>
      <c r="I89" s="72">
        <v>6</v>
      </c>
      <c r="J89" s="72">
        <v>6</v>
      </c>
      <c r="K89" s="72">
        <v>1</v>
      </c>
      <c r="L89" s="91" t="s">
        <v>189</v>
      </c>
      <c r="M89" s="91" t="s">
        <v>46</v>
      </c>
      <c r="N89" s="96">
        <v>5000000</v>
      </c>
      <c r="O89" s="91">
        <v>0</v>
      </c>
      <c r="P89" s="91">
        <v>0</v>
      </c>
      <c r="Q89" s="91" t="s">
        <v>47</v>
      </c>
      <c r="R89" s="91" t="s">
        <v>48</v>
      </c>
      <c r="S89" s="91" t="s">
        <v>257</v>
      </c>
      <c r="T89" s="91">
        <v>3846666</v>
      </c>
      <c r="U89" s="308" t="s">
        <v>258</v>
      </c>
      <c r="V89" s="91" t="s">
        <v>51</v>
      </c>
      <c r="W89" s="75" t="s">
        <v>86</v>
      </c>
      <c r="X89" s="75" t="s">
        <v>296</v>
      </c>
      <c r="Y89" s="91"/>
      <c r="Z89" s="91"/>
      <c r="AA89" s="91"/>
      <c r="AB89" s="262">
        <f t="shared" si="14"/>
        <v>5000000</v>
      </c>
      <c r="AC89" s="180">
        <v>10821</v>
      </c>
      <c r="AD89" s="181">
        <v>5000000</v>
      </c>
      <c r="AE89" s="181">
        <f t="shared" si="10"/>
        <v>0</v>
      </c>
      <c r="AF89" s="275"/>
      <c r="AG89" s="275"/>
      <c r="AH89" s="276"/>
      <c r="AI89" s="276">
        <f t="shared" si="11"/>
        <v>5000000</v>
      </c>
      <c r="AJ89" s="275"/>
      <c r="AK89" s="275"/>
      <c r="AL89" s="184"/>
      <c r="AM89" s="268"/>
    </row>
    <row r="90" spans="1:39" ht="104.25" customHeight="1" x14ac:dyDescent="0.3">
      <c r="A90" s="91" t="s">
        <v>268</v>
      </c>
      <c r="B90" s="61" t="s">
        <v>223</v>
      </c>
      <c r="C90" s="282" t="s">
        <v>269</v>
      </c>
      <c r="D90" s="69" t="s">
        <v>294</v>
      </c>
      <c r="E90" s="7" t="s">
        <v>271</v>
      </c>
      <c r="F90" s="86">
        <v>83121700</v>
      </c>
      <c r="G90" s="279" t="s">
        <v>308</v>
      </c>
      <c r="H90" s="67">
        <v>5</v>
      </c>
      <c r="I90" s="67">
        <v>6</v>
      </c>
      <c r="J90" s="67">
        <v>6</v>
      </c>
      <c r="K90" s="67">
        <v>1</v>
      </c>
      <c r="L90" s="7" t="s">
        <v>189</v>
      </c>
      <c r="M90" s="91" t="s">
        <v>46</v>
      </c>
      <c r="N90" s="157">
        <v>10000000</v>
      </c>
      <c r="O90" s="7">
        <v>0</v>
      </c>
      <c r="P90" s="7">
        <v>0</v>
      </c>
      <c r="Q90" s="7" t="s">
        <v>47</v>
      </c>
      <c r="R90" s="7" t="s">
        <v>48</v>
      </c>
      <c r="S90" s="91" t="s">
        <v>257</v>
      </c>
      <c r="T90" s="91">
        <v>3846666</v>
      </c>
      <c r="U90" s="68" t="s">
        <v>258</v>
      </c>
      <c r="V90" s="7" t="s">
        <v>51</v>
      </c>
      <c r="W90" s="69" t="s">
        <v>86</v>
      </c>
      <c r="X90" s="69" t="s">
        <v>296</v>
      </c>
      <c r="Y90" s="7"/>
      <c r="Z90" s="7"/>
      <c r="AA90" s="7"/>
      <c r="AB90" s="8">
        <f t="shared" si="14"/>
        <v>10000000</v>
      </c>
      <c r="AC90" s="180">
        <v>10721</v>
      </c>
      <c r="AD90" s="181">
        <v>10000000</v>
      </c>
      <c r="AE90" s="181">
        <f t="shared" si="10"/>
        <v>0</v>
      </c>
      <c r="AF90" s="275"/>
      <c r="AG90" s="275"/>
      <c r="AH90" s="276"/>
      <c r="AI90" s="276">
        <f t="shared" si="11"/>
        <v>10000000</v>
      </c>
      <c r="AJ90" s="275"/>
      <c r="AK90" s="275"/>
      <c r="AL90" s="184"/>
      <c r="AM90" s="268"/>
    </row>
    <row r="91" spans="1:39" ht="104.25" customHeight="1" x14ac:dyDescent="0.3">
      <c r="A91" s="91" t="s">
        <v>268</v>
      </c>
      <c r="B91" s="61" t="s">
        <v>223</v>
      </c>
      <c r="C91" s="282" t="s">
        <v>269</v>
      </c>
      <c r="D91" s="75" t="s">
        <v>294</v>
      </c>
      <c r="E91" s="91" t="s">
        <v>271</v>
      </c>
      <c r="F91" s="307">
        <v>81112200</v>
      </c>
      <c r="G91" s="279" t="s">
        <v>309</v>
      </c>
      <c r="H91" s="72">
        <v>5</v>
      </c>
      <c r="I91" s="72">
        <v>5</v>
      </c>
      <c r="J91" s="72">
        <v>7</v>
      </c>
      <c r="K91" s="72">
        <v>1</v>
      </c>
      <c r="L91" s="91" t="s">
        <v>189</v>
      </c>
      <c r="M91" s="91" t="s">
        <v>46</v>
      </c>
      <c r="N91" s="96">
        <v>5000000</v>
      </c>
      <c r="O91" s="91">
        <v>0</v>
      </c>
      <c r="P91" s="91">
        <v>0</v>
      </c>
      <c r="Q91" s="91" t="s">
        <v>47</v>
      </c>
      <c r="R91" s="91" t="s">
        <v>48</v>
      </c>
      <c r="S91" s="91" t="s">
        <v>257</v>
      </c>
      <c r="T91" s="91">
        <v>3846666</v>
      </c>
      <c r="U91" s="308" t="s">
        <v>258</v>
      </c>
      <c r="V91" s="91" t="s">
        <v>51</v>
      </c>
      <c r="W91" s="75" t="s">
        <v>86</v>
      </c>
      <c r="X91" s="75" t="s">
        <v>296</v>
      </c>
      <c r="Y91" s="91"/>
      <c r="Z91" s="91"/>
      <c r="AA91" s="91"/>
      <c r="AB91" s="262">
        <f t="shared" si="14"/>
        <v>5000000</v>
      </c>
      <c r="AC91" s="180">
        <v>11321</v>
      </c>
      <c r="AD91" s="181">
        <v>5000000</v>
      </c>
      <c r="AE91" s="181">
        <f t="shared" si="10"/>
        <v>0</v>
      </c>
      <c r="AF91" s="275"/>
      <c r="AG91" s="275"/>
      <c r="AH91" s="276"/>
      <c r="AI91" s="276">
        <f t="shared" si="11"/>
        <v>5000000</v>
      </c>
      <c r="AJ91" s="275"/>
      <c r="AK91" s="275"/>
      <c r="AL91" s="184"/>
      <c r="AM91" s="268"/>
    </row>
    <row r="92" spans="1:39" ht="104.25" customHeight="1" x14ac:dyDescent="0.3">
      <c r="A92" s="91" t="s">
        <v>268</v>
      </c>
      <c r="B92" s="61" t="s">
        <v>223</v>
      </c>
      <c r="C92" s="282" t="s">
        <v>269</v>
      </c>
      <c r="D92" s="75" t="s">
        <v>294</v>
      </c>
      <c r="E92" s="91" t="s">
        <v>271</v>
      </c>
      <c r="F92" s="307">
        <v>81112200</v>
      </c>
      <c r="G92" s="280" t="s">
        <v>310</v>
      </c>
      <c r="H92" s="72">
        <v>5</v>
      </c>
      <c r="I92" s="72">
        <v>5</v>
      </c>
      <c r="J92" s="72">
        <v>7</v>
      </c>
      <c r="K92" s="72">
        <v>1</v>
      </c>
      <c r="L92" s="91" t="s">
        <v>189</v>
      </c>
      <c r="M92" s="91" t="s">
        <v>46</v>
      </c>
      <c r="N92" s="309">
        <v>5000000</v>
      </c>
      <c r="O92" s="91">
        <v>0</v>
      </c>
      <c r="P92" s="91">
        <v>0</v>
      </c>
      <c r="Q92" s="91" t="s">
        <v>47</v>
      </c>
      <c r="R92" s="91" t="s">
        <v>48</v>
      </c>
      <c r="S92" s="91" t="s">
        <v>257</v>
      </c>
      <c r="T92" s="91">
        <v>3846666</v>
      </c>
      <c r="U92" s="308" t="s">
        <v>258</v>
      </c>
      <c r="V92" s="91" t="s">
        <v>51</v>
      </c>
      <c r="W92" s="75" t="s">
        <v>86</v>
      </c>
      <c r="X92" s="75" t="s">
        <v>296</v>
      </c>
      <c r="Y92" s="91"/>
      <c r="Z92" s="91"/>
      <c r="AA92" s="91"/>
      <c r="AB92" s="262">
        <f t="shared" si="14"/>
        <v>5000000</v>
      </c>
      <c r="AC92" s="278">
        <v>10921</v>
      </c>
      <c r="AD92" s="181">
        <v>5000000</v>
      </c>
      <c r="AE92" s="181">
        <f t="shared" si="10"/>
        <v>0</v>
      </c>
      <c r="AF92" s="275">
        <v>12621</v>
      </c>
      <c r="AG92" s="275" t="s">
        <v>311</v>
      </c>
      <c r="AH92" s="276">
        <v>5000000</v>
      </c>
      <c r="AI92" s="276">
        <f t="shared" si="11"/>
        <v>0</v>
      </c>
      <c r="AJ92" s="275"/>
      <c r="AK92" s="275"/>
      <c r="AL92" s="184"/>
      <c r="AM92" s="268"/>
    </row>
    <row r="93" spans="1:39" ht="104.25" customHeight="1" x14ac:dyDescent="0.3">
      <c r="A93" s="91" t="s">
        <v>268</v>
      </c>
      <c r="B93" s="61" t="s">
        <v>223</v>
      </c>
      <c r="C93" s="142" t="s">
        <v>269</v>
      </c>
      <c r="D93" s="69" t="s">
        <v>294</v>
      </c>
      <c r="E93" s="7" t="s">
        <v>271</v>
      </c>
      <c r="F93" s="65">
        <v>80111600</v>
      </c>
      <c r="G93" s="71" t="s">
        <v>312</v>
      </c>
      <c r="H93" s="67">
        <v>1</v>
      </c>
      <c r="I93" s="67">
        <v>1</v>
      </c>
      <c r="J93" s="67">
        <v>11</v>
      </c>
      <c r="K93" s="67">
        <v>1</v>
      </c>
      <c r="L93" s="78" t="s">
        <v>45</v>
      </c>
      <c r="M93" s="7" t="s">
        <v>46</v>
      </c>
      <c r="N93" s="157">
        <f>2000000*11</f>
        <v>22000000</v>
      </c>
      <c r="O93" s="7">
        <v>0</v>
      </c>
      <c r="P93" s="7">
        <v>0</v>
      </c>
      <c r="Q93" s="7" t="s">
        <v>47</v>
      </c>
      <c r="R93" s="7" t="s">
        <v>48</v>
      </c>
      <c r="S93" s="91" t="s">
        <v>257</v>
      </c>
      <c r="T93" s="91">
        <v>3846666</v>
      </c>
      <c r="U93" s="68" t="s">
        <v>258</v>
      </c>
      <c r="V93" s="7" t="s">
        <v>51</v>
      </c>
      <c r="W93" s="69" t="s">
        <v>52</v>
      </c>
      <c r="X93" s="69" t="s">
        <v>90</v>
      </c>
      <c r="Y93" s="7"/>
      <c r="Z93" s="7"/>
      <c r="AA93" s="7"/>
      <c r="AB93" s="8">
        <f t="shared" si="14"/>
        <v>22000000</v>
      </c>
      <c r="AC93" s="180">
        <v>3521</v>
      </c>
      <c r="AD93" s="181">
        <v>22000000</v>
      </c>
      <c r="AE93" s="181">
        <f t="shared" si="10"/>
        <v>0</v>
      </c>
      <c r="AF93" s="275">
        <v>3621</v>
      </c>
      <c r="AG93" s="291">
        <v>44225</v>
      </c>
      <c r="AH93" s="276">
        <v>22000000</v>
      </c>
      <c r="AI93" s="276">
        <f t="shared" si="11"/>
        <v>0</v>
      </c>
      <c r="AJ93" s="275" t="s">
        <v>313</v>
      </c>
      <c r="AK93" s="275" t="s">
        <v>314</v>
      </c>
      <c r="AL93" s="184">
        <f>2000000+2000000+2000000+2000000</f>
        <v>8000000</v>
      </c>
      <c r="AM93" s="7"/>
    </row>
    <row r="94" spans="1:39" ht="104.25" customHeight="1" x14ac:dyDescent="0.3">
      <c r="A94" s="91" t="s">
        <v>268</v>
      </c>
      <c r="B94" s="61" t="s">
        <v>223</v>
      </c>
      <c r="C94" s="142" t="s">
        <v>269</v>
      </c>
      <c r="D94" s="69" t="s">
        <v>294</v>
      </c>
      <c r="E94" s="7" t="s">
        <v>271</v>
      </c>
      <c r="F94" s="65">
        <v>80111600</v>
      </c>
      <c r="G94" s="71" t="s">
        <v>315</v>
      </c>
      <c r="H94" s="67">
        <v>1</v>
      </c>
      <c r="I94" s="67">
        <v>1</v>
      </c>
      <c r="J94" s="67" t="s">
        <v>316</v>
      </c>
      <c r="K94" s="67">
        <v>1</v>
      </c>
      <c r="L94" s="78" t="s">
        <v>45</v>
      </c>
      <c r="M94" s="7" t="s">
        <v>46</v>
      </c>
      <c r="N94" s="157">
        <f>3130298*11</f>
        <v>34433278</v>
      </c>
      <c r="O94" s="7">
        <v>0</v>
      </c>
      <c r="P94" s="7">
        <v>0</v>
      </c>
      <c r="Q94" s="7" t="s">
        <v>47</v>
      </c>
      <c r="R94" s="7" t="s">
        <v>48</v>
      </c>
      <c r="S94" s="91" t="s">
        <v>257</v>
      </c>
      <c r="T94" s="91">
        <v>3846666</v>
      </c>
      <c r="U94" s="68" t="s">
        <v>258</v>
      </c>
      <c r="V94" s="7" t="s">
        <v>51</v>
      </c>
      <c r="W94" s="69" t="s">
        <v>52</v>
      </c>
      <c r="X94" s="69" t="s">
        <v>90</v>
      </c>
      <c r="Y94" s="7"/>
      <c r="Z94" s="7"/>
      <c r="AA94" s="7"/>
      <c r="AB94" s="8">
        <f t="shared" si="14"/>
        <v>34433278</v>
      </c>
      <c r="AC94" s="180">
        <v>7021</v>
      </c>
      <c r="AD94" s="181">
        <v>22560000</v>
      </c>
      <c r="AE94" s="181">
        <f t="shared" si="10"/>
        <v>11873278</v>
      </c>
      <c r="AF94" s="275">
        <v>7721</v>
      </c>
      <c r="AG94" s="291">
        <v>44279</v>
      </c>
      <c r="AH94" s="276">
        <v>22560000</v>
      </c>
      <c r="AI94" s="276">
        <f t="shared" si="11"/>
        <v>11873278</v>
      </c>
      <c r="AJ94" s="275" t="s">
        <v>317</v>
      </c>
      <c r="AK94" s="275" t="s">
        <v>318</v>
      </c>
      <c r="AL94" s="184">
        <f>960000+3600000+3600000</f>
        <v>8160000</v>
      </c>
      <c r="AM94" s="7"/>
    </row>
    <row r="95" spans="1:39" s="90" customFormat="1" ht="104.25" customHeight="1" x14ac:dyDescent="0.3">
      <c r="A95" s="95" t="s">
        <v>319</v>
      </c>
      <c r="B95" s="91" t="s">
        <v>65</v>
      </c>
      <c r="C95" s="91" t="s">
        <v>320</v>
      </c>
      <c r="D95" s="91" t="s">
        <v>65</v>
      </c>
      <c r="E95" s="91" t="s">
        <v>144</v>
      </c>
      <c r="F95" s="91" t="s">
        <v>321</v>
      </c>
      <c r="G95" s="88" t="s">
        <v>322</v>
      </c>
      <c r="H95" s="87">
        <v>7</v>
      </c>
      <c r="I95" s="87">
        <v>8</v>
      </c>
      <c r="J95" s="87">
        <v>1</v>
      </c>
      <c r="K95" s="72">
        <v>1</v>
      </c>
      <c r="L95" s="7" t="s">
        <v>189</v>
      </c>
      <c r="M95" s="87" t="s">
        <v>121</v>
      </c>
      <c r="N95" s="96">
        <v>20000000</v>
      </c>
      <c r="O95" s="7">
        <v>0</v>
      </c>
      <c r="P95" s="7">
        <v>0</v>
      </c>
      <c r="Q95" s="91" t="s">
        <v>47</v>
      </c>
      <c r="R95" s="91" t="s">
        <v>48</v>
      </c>
      <c r="S95" s="63" t="s">
        <v>146</v>
      </c>
      <c r="T95" s="87">
        <v>3846666</v>
      </c>
      <c r="U95" s="94" t="s">
        <v>147</v>
      </c>
      <c r="V95" s="91" t="s">
        <v>323</v>
      </c>
      <c r="W95" s="75" t="s">
        <v>158</v>
      </c>
      <c r="X95" s="97" t="s">
        <v>148</v>
      </c>
      <c r="Y95" s="91"/>
      <c r="Z95" s="91"/>
      <c r="AA95" s="256">
        <f>17645867+2354133</f>
        <v>20000000</v>
      </c>
      <c r="AB95" s="8">
        <f t="shared" si="14"/>
        <v>0</v>
      </c>
      <c r="AC95" s="248"/>
      <c r="AD95" s="249"/>
      <c r="AE95" s="249">
        <f t="shared" si="10"/>
        <v>0</v>
      </c>
      <c r="AF95" s="248"/>
      <c r="AG95" s="248"/>
      <c r="AH95" s="249"/>
      <c r="AI95" s="249">
        <f t="shared" si="11"/>
        <v>0</v>
      </c>
      <c r="AJ95" s="248"/>
      <c r="AK95" s="248"/>
      <c r="AL95" s="249"/>
      <c r="AM95" s="91" t="s">
        <v>129</v>
      </c>
    </row>
    <row r="96" spans="1:39" s="90" customFormat="1" ht="37.5" customHeight="1" x14ac:dyDescent="0.3">
      <c r="A96" s="95" t="s">
        <v>324</v>
      </c>
      <c r="B96" s="91" t="s">
        <v>65</v>
      </c>
      <c r="C96" s="61" t="s">
        <v>325</v>
      </c>
      <c r="D96" s="91" t="s">
        <v>65</v>
      </c>
      <c r="E96" s="91" t="s">
        <v>144</v>
      </c>
      <c r="F96" s="91">
        <v>50201713</v>
      </c>
      <c r="G96" s="247" t="s">
        <v>326</v>
      </c>
      <c r="H96" s="87">
        <v>2</v>
      </c>
      <c r="I96" s="87">
        <v>3</v>
      </c>
      <c r="J96" s="87">
        <v>9</v>
      </c>
      <c r="K96" s="72">
        <v>1</v>
      </c>
      <c r="L96" s="7" t="s">
        <v>189</v>
      </c>
      <c r="M96" s="87" t="s">
        <v>121</v>
      </c>
      <c r="N96" s="96">
        <v>110000</v>
      </c>
      <c r="O96" s="7">
        <v>0</v>
      </c>
      <c r="P96" s="7">
        <v>0</v>
      </c>
      <c r="Q96" s="91" t="s">
        <v>47</v>
      </c>
      <c r="R96" s="91" t="s">
        <v>48</v>
      </c>
      <c r="S96" s="63" t="s">
        <v>146</v>
      </c>
      <c r="T96" s="87">
        <v>3846666</v>
      </c>
      <c r="U96" s="94" t="s">
        <v>147</v>
      </c>
      <c r="V96" s="91" t="s">
        <v>323</v>
      </c>
      <c r="W96" s="75" t="s">
        <v>158</v>
      </c>
      <c r="X96" s="97" t="s">
        <v>148</v>
      </c>
      <c r="Y96" s="91"/>
      <c r="Z96" s="91"/>
      <c r="AA96" s="257">
        <v>23509.67</v>
      </c>
      <c r="AB96" s="8">
        <f t="shared" si="14"/>
        <v>86490.33</v>
      </c>
      <c r="AC96" s="180">
        <v>7621</v>
      </c>
      <c r="AD96" s="181">
        <v>86490.33</v>
      </c>
      <c r="AE96" s="181">
        <f t="shared" si="10"/>
        <v>0</v>
      </c>
      <c r="AF96" s="295">
        <v>8321</v>
      </c>
      <c r="AG96" s="291">
        <v>44281</v>
      </c>
      <c r="AH96" s="276">
        <v>86490.33</v>
      </c>
      <c r="AI96" s="276">
        <f t="shared" si="11"/>
        <v>0</v>
      </c>
      <c r="AJ96" s="275" t="s">
        <v>327</v>
      </c>
      <c r="AK96" s="275" t="s">
        <v>328</v>
      </c>
      <c r="AL96" s="179"/>
      <c r="AM96" s="91" t="s">
        <v>129</v>
      </c>
    </row>
    <row r="97" spans="1:39" s="90" customFormat="1" ht="36.75" customHeight="1" x14ac:dyDescent="0.3">
      <c r="A97" s="95" t="s">
        <v>329</v>
      </c>
      <c r="B97" s="91" t="s">
        <v>65</v>
      </c>
      <c r="C97" s="135" t="s">
        <v>330</v>
      </c>
      <c r="D97" s="91" t="s">
        <v>65</v>
      </c>
      <c r="E97" s="91" t="s">
        <v>144</v>
      </c>
      <c r="F97" s="91" t="s">
        <v>65</v>
      </c>
      <c r="G97" s="88" t="s">
        <v>331</v>
      </c>
      <c r="H97" s="87" t="s">
        <v>65</v>
      </c>
      <c r="I97" s="87" t="s">
        <v>65</v>
      </c>
      <c r="J97" s="87" t="s">
        <v>65</v>
      </c>
      <c r="K97" s="72">
        <v>1</v>
      </c>
      <c r="L97" s="93" t="s">
        <v>67</v>
      </c>
      <c r="M97" s="87" t="s">
        <v>46</v>
      </c>
      <c r="N97" s="96">
        <f>50000*11</f>
        <v>550000</v>
      </c>
      <c r="O97" s="7">
        <v>0</v>
      </c>
      <c r="P97" s="7">
        <v>0</v>
      </c>
      <c r="Q97" s="91" t="s">
        <v>47</v>
      </c>
      <c r="R97" s="91" t="s">
        <v>48</v>
      </c>
      <c r="S97" s="63" t="s">
        <v>146</v>
      </c>
      <c r="T97" s="87">
        <v>3846666</v>
      </c>
      <c r="U97" s="94" t="s">
        <v>147</v>
      </c>
      <c r="V97" s="91" t="s">
        <v>323</v>
      </c>
      <c r="W97" s="75" t="s">
        <v>332</v>
      </c>
      <c r="X97" s="97" t="s">
        <v>148</v>
      </c>
      <c r="Y97" s="91"/>
      <c r="Z97" s="91"/>
      <c r="AA97" s="258"/>
      <c r="AB97" s="8">
        <f t="shared" si="14"/>
        <v>550000</v>
      </c>
      <c r="AC97" s="180">
        <v>5421</v>
      </c>
      <c r="AD97" s="181">
        <f>50000</f>
        <v>50000</v>
      </c>
      <c r="AE97" s="181">
        <f t="shared" si="10"/>
        <v>500000</v>
      </c>
      <c r="AF97" s="275">
        <v>5621</v>
      </c>
      <c r="AG97" s="291">
        <v>44243</v>
      </c>
      <c r="AH97" s="276">
        <v>50000</v>
      </c>
      <c r="AI97" s="276">
        <f t="shared" si="11"/>
        <v>500000</v>
      </c>
      <c r="AJ97" s="275" t="s">
        <v>333</v>
      </c>
      <c r="AK97" s="275" t="s">
        <v>332</v>
      </c>
      <c r="AL97" s="184">
        <v>50000</v>
      </c>
      <c r="AM97" s="91"/>
    </row>
    <row r="98" spans="1:39" s="90" customFormat="1" ht="37.5" customHeight="1" x14ac:dyDescent="0.3">
      <c r="A98" s="95" t="s">
        <v>329</v>
      </c>
      <c r="B98" s="91" t="s">
        <v>65</v>
      </c>
      <c r="C98" s="135" t="s">
        <v>330</v>
      </c>
      <c r="D98" s="91" t="s">
        <v>65</v>
      </c>
      <c r="E98" s="91" t="s">
        <v>144</v>
      </c>
      <c r="F98" s="91">
        <v>50161814</v>
      </c>
      <c r="G98" s="247" t="s">
        <v>334</v>
      </c>
      <c r="H98" s="87">
        <v>2</v>
      </c>
      <c r="I98" s="87">
        <v>3</v>
      </c>
      <c r="J98" s="87">
        <v>9</v>
      </c>
      <c r="K98" s="72">
        <v>1</v>
      </c>
      <c r="L98" s="7" t="s">
        <v>189</v>
      </c>
      <c r="M98" s="87" t="s">
        <v>121</v>
      </c>
      <c r="N98" s="96">
        <v>600000</v>
      </c>
      <c r="O98" s="7">
        <v>0</v>
      </c>
      <c r="P98" s="7">
        <v>0</v>
      </c>
      <c r="Q98" s="91" t="s">
        <v>47</v>
      </c>
      <c r="R98" s="91" t="s">
        <v>48</v>
      </c>
      <c r="S98" s="63" t="s">
        <v>146</v>
      </c>
      <c r="T98" s="87">
        <v>3846666</v>
      </c>
      <c r="U98" s="94" t="s">
        <v>147</v>
      </c>
      <c r="V98" s="91" t="s">
        <v>323</v>
      </c>
      <c r="W98" s="75" t="s">
        <v>158</v>
      </c>
      <c r="X98" s="97" t="s">
        <v>148</v>
      </c>
      <c r="Y98" s="91"/>
      <c r="Z98" s="91"/>
      <c r="AA98" s="257">
        <v>481488.83999999997</v>
      </c>
      <c r="AB98" s="8">
        <f t="shared" si="14"/>
        <v>118511.16000000003</v>
      </c>
      <c r="AC98" s="180">
        <v>7621</v>
      </c>
      <c r="AD98" s="181">
        <v>118511.16</v>
      </c>
      <c r="AE98" s="181">
        <f t="shared" si="10"/>
        <v>0</v>
      </c>
      <c r="AF98" s="295">
        <v>8321</v>
      </c>
      <c r="AG98" s="291">
        <v>44281</v>
      </c>
      <c r="AH98" s="276">
        <v>118511.16</v>
      </c>
      <c r="AI98" s="276">
        <f t="shared" si="11"/>
        <v>0</v>
      </c>
      <c r="AJ98" s="275" t="s">
        <v>327</v>
      </c>
      <c r="AK98" s="275" t="s">
        <v>328</v>
      </c>
      <c r="AL98" s="179"/>
      <c r="AM98" s="91" t="s">
        <v>129</v>
      </c>
    </row>
    <row r="99" spans="1:39" s="90" customFormat="1" ht="37.5" customHeight="1" x14ac:dyDescent="0.3">
      <c r="A99" s="95" t="s">
        <v>329</v>
      </c>
      <c r="B99" s="91" t="s">
        <v>65</v>
      </c>
      <c r="C99" s="135" t="s">
        <v>330</v>
      </c>
      <c r="D99" s="91" t="s">
        <v>65</v>
      </c>
      <c r="E99" s="91" t="s">
        <v>144</v>
      </c>
      <c r="F99" s="91">
        <v>50201706</v>
      </c>
      <c r="G99" s="247" t="s">
        <v>335</v>
      </c>
      <c r="H99" s="87">
        <v>2</v>
      </c>
      <c r="I99" s="87">
        <v>3</v>
      </c>
      <c r="J99" s="87">
        <v>9</v>
      </c>
      <c r="K99" s="72">
        <v>1</v>
      </c>
      <c r="L99" s="7" t="s">
        <v>189</v>
      </c>
      <c r="M99" s="87" t="s">
        <v>121</v>
      </c>
      <c r="N99" s="96">
        <v>2500000</v>
      </c>
      <c r="O99" s="7">
        <v>0</v>
      </c>
      <c r="P99" s="7">
        <v>0</v>
      </c>
      <c r="Q99" s="91" t="s">
        <v>47</v>
      </c>
      <c r="R99" s="91" t="s">
        <v>48</v>
      </c>
      <c r="S99" s="63" t="s">
        <v>146</v>
      </c>
      <c r="T99" s="87">
        <v>3846666</v>
      </c>
      <c r="U99" s="94" t="s">
        <v>147</v>
      </c>
      <c r="V99" s="91" t="s">
        <v>323</v>
      </c>
      <c r="W99" s="75" t="s">
        <v>158</v>
      </c>
      <c r="X99" s="97" t="s">
        <v>148</v>
      </c>
      <c r="Y99" s="91"/>
      <c r="Z99" s="91"/>
      <c r="AA99" s="257">
        <v>1523964.6800000002</v>
      </c>
      <c r="AB99" s="8">
        <f t="shared" si="14"/>
        <v>976035.31999999983</v>
      </c>
      <c r="AC99" s="180">
        <v>7621</v>
      </c>
      <c r="AD99" s="181">
        <v>976035.32</v>
      </c>
      <c r="AE99" s="181">
        <f t="shared" si="10"/>
        <v>0</v>
      </c>
      <c r="AF99" s="295">
        <v>8321</v>
      </c>
      <c r="AG99" s="291">
        <v>44281</v>
      </c>
      <c r="AH99" s="276">
        <v>976035.32</v>
      </c>
      <c r="AI99" s="276">
        <f t="shared" si="11"/>
        <v>0</v>
      </c>
      <c r="AJ99" s="275" t="s">
        <v>327</v>
      </c>
      <c r="AK99" s="275" t="s">
        <v>328</v>
      </c>
      <c r="AL99" s="179"/>
      <c r="AM99" s="91" t="s">
        <v>129</v>
      </c>
    </row>
    <row r="100" spans="1:39" s="90" customFormat="1" ht="104.25" customHeight="1" x14ac:dyDescent="0.3">
      <c r="A100" s="95" t="s">
        <v>336</v>
      </c>
      <c r="B100" s="91" t="s">
        <v>65</v>
      </c>
      <c r="C100" s="135" t="s">
        <v>330</v>
      </c>
      <c r="D100" s="91" t="s">
        <v>65</v>
      </c>
      <c r="E100" s="91" t="s">
        <v>241</v>
      </c>
      <c r="F100" s="91">
        <v>53102710</v>
      </c>
      <c r="G100" s="88" t="s">
        <v>337</v>
      </c>
      <c r="H100" s="87">
        <v>4</v>
      </c>
      <c r="I100" s="87">
        <v>4</v>
      </c>
      <c r="J100" s="87">
        <v>8</v>
      </c>
      <c r="K100" s="72">
        <v>1</v>
      </c>
      <c r="L100" s="7" t="s">
        <v>189</v>
      </c>
      <c r="M100" s="87" t="s">
        <v>46</v>
      </c>
      <c r="N100" s="96">
        <f>18000000-550000</f>
        <v>17450000</v>
      </c>
      <c r="O100" s="7">
        <v>0</v>
      </c>
      <c r="P100" s="7">
        <v>0</v>
      </c>
      <c r="Q100" s="91" t="s">
        <v>47</v>
      </c>
      <c r="R100" s="91" t="s">
        <v>48</v>
      </c>
      <c r="S100" s="63" t="s">
        <v>146</v>
      </c>
      <c r="T100" s="88">
        <v>3846666</v>
      </c>
      <c r="U100" s="94" t="s">
        <v>147</v>
      </c>
      <c r="V100" s="91" t="s">
        <v>323</v>
      </c>
      <c r="W100" s="75" t="s">
        <v>158</v>
      </c>
      <c r="X100" s="97" t="s">
        <v>243</v>
      </c>
      <c r="Y100" s="91"/>
      <c r="Z100" s="91"/>
      <c r="AA100" s="258"/>
      <c r="AB100" s="8">
        <f t="shared" si="14"/>
        <v>17450000</v>
      </c>
      <c r="AC100" s="248"/>
      <c r="AD100" s="249"/>
      <c r="AE100" s="249">
        <f t="shared" si="10"/>
        <v>17450000</v>
      </c>
      <c r="AF100" s="248"/>
      <c r="AG100" s="248"/>
      <c r="AH100" s="249"/>
      <c r="AI100" s="249">
        <f t="shared" si="11"/>
        <v>17450000</v>
      </c>
      <c r="AJ100" s="248"/>
      <c r="AK100" s="248"/>
      <c r="AL100" s="249"/>
      <c r="AM100" s="91"/>
    </row>
    <row r="101" spans="1:39" s="90" customFormat="1" ht="104.25" customHeight="1" x14ac:dyDescent="0.3">
      <c r="A101" s="95" t="s">
        <v>336</v>
      </c>
      <c r="B101" s="91" t="s">
        <v>65</v>
      </c>
      <c r="C101" s="135" t="s">
        <v>330</v>
      </c>
      <c r="D101" s="91" t="s">
        <v>65</v>
      </c>
      <c r="E101" s="91" t="s">
        <v>241</v>
      </c>
      <c r="F101" s="91">
        <v>53102710</v>
      </c>
      <c r="G101" s="88" t="s">
        <v>337</v>
      </c>
      <c r="H101" s="87">
        <v>4</v>
      </c>
      <c r="I101" s="87">
        <v>4</v>
      </c>
      <c r="J101" s="87">
        <v>8</v>
      </c>
      <c r="K101" s="72">
        <v>1</v>
      </c>
      <c r="L101" s="7" t="s">
        <v>189</v>
      </c>
      <c r="M101" s="87" t="s">
        <v>121</v>
      </c>
      <c r="N101" s="96">
        <v>550000</v>
      </c>
      <c r="O101" s="7">
        <v>0</v>
      </c>
      <c r="P101" s="7">
        <v>0</v>
      </c>
      <c r="Q101" s="91" t="s">
        <v>47</v>
      </c>
      <c r="R101" s="91" t="s">
        <v>48</v>
      </c>
      <c r="S101" s="63" t="s">
        <v>146</v>
      </c>
      <c r="T101" s="88">
        <v>3846666</v>
      </c>
      <c r="U101" s="94" t="s">
        <v>147</v>
      </c>
      <c r="V101" s="91" t="s">
        <v>323</v>
      </c>
      <c r="W101" s="75" t="s">
        <v>158</v>
      </c>
      <c r="X101" s="97" t="s">
        <v>243</v>
      </c>
      <c r="Y101" s="91"/>
      <c r="Z101" s="91"/>
      <c r="AA101" s="258"/>
      <c r="AB101" s="8">
        <f t="shared" ref="AB101" si="15">+N101+Y101+Z101-AA101</f>
        <v>550000</v>
      </c>
      <c r="AC101" s="248"/>
      <c r="AD101" s="249"/>
      <c r="AE101" s="249">
        <f t="shared" si="10"/>
        <v>550000</v>
      </c>
      <c r="AF101" s="248"/>
      <c r="AG101" s="248"/>
      <c r="AH101" s="249"/>
      <c r="AI101" s="249">
        <f t="shared" si="11"/>
        <v>550000</v>
      </c>
      <c r="AJ101" s="248"/>
      <c r="AK101" s="248"/>
      <c r="AL101" s="249"/>
      <c r="AM101" s="91"/>
    </row>
    <row r="102" spans="1:39" s="90" customFormat="1" ht="36.75" customHeight="1" x14ac:dyDescent="0.3">
      <c r="A102" s="95" t="s">
        <v>338</v>
      </c>
      <c r="B102" s="91" t="s">
        <v>65</v>
      </c>
      <c r="C102" s="144" t="s">
        <v>339</v>
      </c>
      <c r="D102" s="91" t="s">
        <v>65</v>
      </c>
      <c r="E102" s="91" t="s">
        <v>144</v>
      </c>
      <c r="F102" s="91" t="s">
        <v>65</v>
      </c>
      <c r="G102" s="88" t="s">
        <v>340</v>
      </c>
      <c r="H102" s="87" t="s">
        <v>65</v>
      </c>
      <c r="I102" s="87" t="s">
        <v>65</v>
      </c>
      <c r="J102" s="87" t="s">
        <v>65</v>
      </c>
      <c r="K102" s="87" t="s">
        <v>65</v>
      </c>
      <c r="L102" s="93" t="s">
        <v>67</v>
      </c>
      <c r="M102" s="87" t="s">
        <v>46</v>
      </c>
      <c r="N102" s="96">
        <f>90000*11</f>
        <v>990000</v>
      </c>
      <c r="O102" s="7">
        <v>0</v>
      </c>
      <c r="P102" s="7">
        <v>0</v>
      </c>
      <c r="Q102" s="91" t="s">
        <v>47</v>
      </c>
      <c r="R102" s="91" t="s">
        <v>48</v>
      </c>
      <c r="S102" s="63" t="s">
        <v>146</v>
      </c>
      <c r="T102" s="89">
        <v>3846666</v>
      </c>
      <c r="U102" s="94" t="s">
        <v>147</v>
      </c>
      <c r="V102" s="91" t="s">
        <v>323</v>
      </c>
      <c r="W102" s="75" t="s">
        <v>332</v>
      </c>
      <c r="X102" s="97" t="s">
        <v>148</v>
      </c>
      <c r="Y102" s="91"/>
      <c r="Z102" s="91"/>
      <c r="AA102" s="258"/>
      <c r="AB102" s="8">
        <f t="shared" si="14"/>
        <v>990000</v>
      </c>
      <c r="AC102" s="180" t="s">
        <v>341</v>
      </c>
      <c r="AD102" s="181">
        <f>90000+49800.31</f>
        <v>139800.31</v>
      </c>
      <c r="AE102" s="181">
        <f t="shared" si="10"/>
        <v>850199.69</v>
      </c>
      <c r="AF102" s="275" t="s">
        <v>342</v>
      </c>
      <c r="AG102" s="291" t="s">
        <v>343</v>
      </c>
      <c r="AH102" s="276">
        <f>90000+49800.31</f>
        <v>139800.31</v>
      </c>
      <c r="AI102" s="276">
        <f t="shared" si="11"/>
        <v>850199.69</v>
      </c>
      <c r="AJ102" s="275" t="s">
        <v>344</v>
      </c>
      <c r="AK102" s="275" t="s">
        <v>332</v>
      </c>
      <c r="AL102" s="184">
        <f>90000+49800.31</f>
        <v>139800.31</v>
      </c>
      <c r="AM102" s="91"/>
    </row>
    <row r="103" spans="1:39" s="90" customFormat="1" ht="83.4" customHeight="1" x14ac:dyDescent="0.3">
      <c r="A103" s="95" t="s">
        <v>338</v>
      </c>
      <c r="B103" s="91" t="s">
        <v>65</v>
      </c>
      <c r="C103" s="144" t="s">
        <v>339</v>
      </c>
      <c r="D103" s="91" t="s">
        <v>65</v>
      </c>
      <c r="E103" s="91" t="s">
        <v>144</v>
      </c>
      <c r="F103" s="91" t="s">
        <v>345</v>
      </c>
      <c r="G103" s="88" t="s">
        <v>346</v>
      </c>
      <c r="H103" s="87">
        <v>6</v>
      </c>
      <c r="I103" s="87">
        <v>6</v>
      </c>
      <c r="J103" s="87">
        <v>1</v>
      </c>
      <c r="K103" s="72">
        <v>1</v>
      </c>
      <c r="L103" s="7" t="s">
        <v>189</v>
      </c>
      <c r="M103" s="87" t="s">
        <v>121</v>
      </c>
      <c r="N103" s="119">
        <f>5000000-500000</f>
        <v>4500000</v>
      </c>
      <c r="O103" s="7">
        <v>0</v>
      </c>
      <c r="P103" s="7">
        <v>0</v>
      </c>
      <c r="Q103" s="91" t="s">
        <v>47</v>
      </c>
      <c r="R103" s="91" t="s">
        <v>48</v>
      </c>
      <c r="S103" s="63" t="s">
        <v>146</v>
      </c>
      <c r="T103" s="89">
        <v>3846666</v>
      </c>
      <c r="U103" s="94" t="s">
        <v>147</v>
      </c>
      <c r="V103" s="91" t="s">
        <v>323</v>
      </c>
      <c r="W103" s="75" t="s">
        <v>347</v>
      </c>
      <c r="X103" s="97" t="s">
        <v>148</v>
      </c>
      <c r="Y103" s="91"/>
      <c r="Z103" s="91"/>
      <c r="AA103" s="258"/>
      <c r="AB103" s="8">
        <f t="shared" si="14"/>
        <v>4500000</v>
      </c>
      <c r="AC103" s="248"/>
      <c r="AD103" s="249"/>
      <c r="AE103" s="249">
        <f t="shared" si="10"/>
        <v>4500000</v>
      </c>
      <c r="AF103" s="248"/>
      <c r="AG103" s="248"/>
      <c r="AH103" s="249"/>
      <c r="AI103" s="249">
        <f t="shared" si="11"/>
        <v>4500000</v>
      </c>
      <c r="AJ103" s="248"/>
      <c r="AK103" s="248"/>
      <c r="AL103" s="249"/>
      <c r="AM103" s="91"/>
    </row>
    <row r="104" spans="1:39" s="90" customFormat="1" ht="61.2" customHeight="1" x14ac:dyDescent="0.3">
      <c r="A104" s="95" t="s">
        <v>338</v>
      </c>
      <c r="B104" s="91" t="s">
        <v>65</v>
      </c>
      <c r="C104" s="144" t="s">
        <v>339</v>
      </c>
      <c r="D104" s="91" t="s">
        <v>65</v>
      </c>
      <c r="E104" s="91" t="s">
        <v>144</v>
      </c>
      <c r="F104" s="91" t="s">
        <v>348</v>
      </c>
      <c r="G104" s="247" t="s">
        <v>349</v>
      </c>
      <c r="H104" s="87">
        <v>2</v>
      </c>
      <c r="I104" s="87">
        <v>3</v>
      </c>
      <c r="J104" s="87">
        <v>9</v>
      </c>
      <c r="K104" s="72">
        <v>1</v>
      </c>
      <c r="L104" s="7" t="s">
        <v>189</v>
      </c>
      <c r="M104" s="87" t="s">
        <v>121</v>
      </c>
      <c r="N104" s="119">
        <f>7000000-500000</f>
        <v>6500000</v>
      </c>
      <c r="O104" s="7">
        <v>0</v>
      </c>
      <c r="P104" s="7">
        <v>0</v>
      </c>
      <c r="Q104" s="91" t="s">
        <v>47</v>
      </c>
      <c r="R104" s="91" t="s">
        <v>48</v>
      </c>
      <c r="S104" s="63" t="s">
        <v>146</v>
      </c>
      <c r="T104" s="89">
        <v>3846666</v>
      </c>
      <c r="U104" s="94" t="s">
        <v>147</v>
      </c>
      <c r="V104" s="91" t="s">
        <v>323</v>
      </c>
      <c r="W104" s="75" t="s">
        <v>158</v>
      </c>
      <c r="X104" s="97" t="s">
        <v>148</v>
      </c>
      <c r="Y104" s="91"/>
      <c r="Z104" s="91"/>
      <c r="AA104" s="256">
        <f>2326390.51+600000</f>
        <v>2926390.51</v>
      </c>
      <c r="AB104" s="8">
        <f t="shared" si="14"/>
        <v>3573609.49</v>
      </c>
      <c r="AC104" s="180">
        <v>7621</v>
      </c>
      <c r="AD104" s="181">
        <v>2950028.57</v>
      </c>
      <c r="AE104" s="181">
        <f t="shared" si="10"/>
        <v>623580.92000000039</v>
      </c>
      <c r="AF104" s="295">
        <v>8321</v>
      </c>
      <c r="AG104" s="291">
        <v>44281</v>
      </c>
      <c r="AH104" s="276">
        <v>2950028.57</v>
      </c>
      <c r="AI104" s="276">
        <f t="shared" si="11"/>
        <v>623580.92000000039</v>
      </c>
      <c r="AJ104" s="275" t="s">
        <v>327</v>
      </c>
      <c r="AK104" s="275" t="s">
        <v>328</v>
      </c>
      <c r="AL104" s="179"/>
      <c r="AM104" s="91" t="s">
        <v>350</v>
      </c>
    </row>
    <row r="105" spans="1:39" s="90" customFormat="1" ht="104.25" customHeight="1" x14ac:dyDescent="0.3">
      <c r="A105" s="95" t="s">
        <v>351</v>
      </c>
      <c r="B105" s="91" t="s">
        <v>65</v>
      </c>
      <c r="C105" s="144" t="s">
        <v>339</v>
      </c>
      <c r="D105" s="91" t="s">
        <v>65</v>
      </c>
      <c r="E105" s="91" t="s">
        <v>144</v>
      </c>
      <c r="F105" s="91">
        <v>15101505</v>
      </c>
      <c r="G105" s="88" t="s">
        <v>352</v>
      </c>
      <c r="H105" s="87">
        <v>1</v>
      </c>
      <c r="I105" s="87">
        <v>1</v>
      </c>
      <c r="J105" s="87">
        <v>11</v>
      </c>
      <c r="K105" s="72">
        <v>1</v>
      </c>
      <c r="L105" s="7" t="s">
        <v>189</v>
      </c>
      <c r="M105" s="87" t="s">
        <v>121</v>
      </c>
      <c r="N105" s="119">
        <f>5000000-1000000</f>
        <v>4000000</v>
      </c>
      <c r="O105" s="7">
        <v>0</v>
      </c>
      <c r="P105" s="7">
        <v>0</v>
      </c>
      <c r="Q105" s="91" t="s">
        <v>47</v>
      </c>
      <c r="R105" s="91" t="s">
        <v>48</v>
      </c>
      <c r="S105" s="63" t="s">
        <v>146</v>
      </c>
      <c r="T105" s="89">
        <v>3846666</v>
      </c>
      <c r="U105" s="94" t="s">
        <v>147</v>
      </c>
      <c r="V105" s="91" t="s">
        <v>323</v>
      </c>
      <c r="W105" s="75" t="s">
        <v>158</v>
      </c>
      <c r="X105" s="97" t="s">
        <v>148</v>
      </c>
      <c r="Y105" s="91"/>
      <c r="Z105" s="91"/>
      <c r="AA105" s="256">
        <v>9895</v>
      </c>
      <c r="AB105" s="8">
        <f t="shared" si="14"/>
        <v>3990105</v>
      </c>
      <c r="AC105" s="180">
        <v>3421</v>
      </c>
      <c r="AD105" s="181">
        <v>3990105</v>
      </c>
      <c r="AE105" s="181">
        <f t="shared" si="10"/>
        <v>0</v>
      </c>
      <c r="AF105" s="275">
        <v>4321</v>
      </c>
      <c r="AG105" s="291">
        <v>44228</v>
      </c>
      <c r="AH105" s="276">
        <v>3990105</v>
      </c>
      <c r="AI105" s="276">
        <f t="shared" si="11"/>
        <v>0</v>
      </c>
      <c r="AJ105" s="275" t="s">
        <v>353</v>
      </c>
      <c r="AK105" s="275" t="s">
        <v>354</v>
      </c>
      <c r="AL105" s="184">
        <f>129563+112687</f>
        <v>242250</v>
      </c>
      <c r="AM105" s="91" t="s">
        <v>129</v>
      </c>
    </row>
    <row r="106" spans="1:39" s="90" customFormat="1" ht="104.25" customHeight="1" x14ac:dyDescent="0.3">
      <c r="A106" s="95" t="s">
        <v>355</v>
      </c>
      <c r="B106" s="91" t="s">
        <v>65</v>
      </c>
      <c r="C106" s="144" t="s">
        <v>339</v>
      </c>
      <c r="D106" s="91" t="s">
        <v>65</v>
      </c>
      <c r="E106" s="91" t="s">
        <v>144</v>
      </c>
      <c r="F106" s="91">
        <v>44103103</v>
      </c>
      <c r="G106" s="88" t="s">
        <v>356</v>
      </c>
      <c r="H106" s="87">
        <v>6</v>
      </c>
      <c r="I106" s="87">
        <v>6</v>
      </c>
      <c r="J106" s="87">
        <v>1</v>
      </c>
      <c r="K106" s="72">
        <v>1</v>
      </c>
      <c r="L106" s="7" t="s">
        <v>189</v>
      </c>
      <c r="M106" s="87" t="s">
        <v>121</v>
      </c>
      <c r="N106" s="119">
        <f>11000000-5000000</f>
        <v>6000000</v>
      </c>
      <c r="O106" s="7">
        <v>0</v>
      </c>
      <c r="P106" s="7">
        <v>0</v>
      </c>
      <c r="Q106" s="91" t="s">
        <v>47</v>
      </c>
      <c r="R106" s="91" t="s">
        <v>48</v>
      </c>
      <c r="S106" s="63" t="s">
        <v>146</v>
      </c>
      <c r="T106" s="89">
        <v>3846666</v>
      </c>
      <c r="U106" s="94" t="s">
        <v>147</v>
      </c>
      <c r="V106" s="91" t="s">
        <v>323</v>
      </c>
      <c r="W106" s="75" t="s">
        <v>158</v>
      </c>
      <c r="X106" s="97" t="s">
        <v>148</v>
      </c>
      <c r="Y106" s="91"/>
      <c r="Z106" s="91"/>
      <c r="AA106" s="258"/>
      <c r="AB106" s="8">
        <f t="shared" si="14"/>
        <v>6000000</v>
      </c>
      <c r="AC106" s="248"/>
      <c r="AD106" s="249"/>
      <c r="AE106" s="249">
        <f t="shared" si="10"/>
        <v>6000000</v>
      </c>
      <c r="AF106" s="248"/>
      <c r="AG106" s="248"/>
      <c r="AH106" s="249"/>
      <c r="AI106" s="249">
        <f t="shared" si="11"/>
        <v>6000000</v>
      </c>
      <c r="AJ106" s="248"/>
      <c r="AK106" s="248"/>
      <c r="AL106" s="249"/>
      <c r="AM106" s="91"/>
    </row>
    <row r="107" spans="1:39" s="90" customFormat="1" ht="37.5" customHeight="1" x14ac:dyDescent="0.3">
      <c r="A107" s="95" t="s">
        <v>355</v>
      </c>
      <c r="B107" s="91" t="s">
        <v>65</v>
      </c>
      <c r="C107" s="144" t="s">
        <v>339</v>
      </c>
      <c r="D107" s="91" t="s">
        <v>65</v>
      </c>
      <c r="E107" s="91" t="s">
        <v>144</v>
      </c>
      <c r="F107" s="91">
        <v>12352104</v>
      </c>
      <c r="G107" s="247" t="s">
        <v>357</v>
      </c>
      <c r="H107" s="87">
        <v>2</v>
      </c>
      <c r="I107" s="87">
        <v>3</v>
      </c>
      <c r="J107" s="87">
        <v>9</v>
      </c>
      <c r="K107" s="72">
        <v>1</v>
      </c>
      <c r="L107" s="7" t="s">
        <v>189</v>
      </c>
      <c r="M107" s="87" t="s">
        <v>121</v>
      </c>
      <c r="N107" s="96">
        <v>800000</v>
      </c>
      <c r="O107" s="7">
        <v>0</v>
      </c>
      <c r="P107" s="7">
        <v>0</v>
      </c>
      <c r="Q107" s="91" t="s">
        <v>47</v>
      </c>
      <c r="R107" s="91" t="s">
        <v>48</v>
      </c>
      <c r="S107" s="63" t="s">
        <v>146</v>
      </c>
      <c r="T107" s="89">
        <v>3846666</v>
      </c>
      <c r="U107" s="94" t="s">
        <v>147</v>
      </c>
      <c r="V107" s="91" t="s">
        <v>323</v>
      </c>
      <c r="W107" s="75" t="s">
        <v>158</v>
      </c>
      <c r="X107" s="97" t="s">
        <v>148</v>
      </c>
      <c r="Y107" s="91"/>
      <c r="Z107" s="91"/>
      <c r="AA107" s="256">
        <v>300000</v>
      </c>
      <c r="AB107" s="8">
        <f t="shared" si="14"/>
        <v>500000</v>
      </c>
      <c r="AC107" s="180">
        <v>7621</v>
      </c>
      <c r="AD107" s="181">
        <v>289321.04880000005</v>
      </c>
      <c r="AE107" s="181">
        <f t="shared" si="10"/>
        <v>210678.95119999995</v>
      </c>
      <c r="AF107" s="295">
        <v>8321</v>
      </c>
      <c r="AG107" s="291">
        <v>44281</v>
      </c>
      <c r="AH107" s="276">
        <v>289321.04880000005</v>
      </c>
      <c r="AI107" s="276">
        <f t="shared" si="11"/>
        <v>210678.95119999995</v>
      </c>
      <c r="AJ107" s="275" t="s">
        <v>327</v>
      </c>
      <c r="AK107" s="275" t="s">
        <v>328</v>
      </c>
      <c r="AL107" s="179"/>
      <c r="AM107" s="91" t="s">
        <v>129</v>
      </c>
    </row>
    <row r="108" spans="1:39" s="90" customFormat="1" ht="37.5" customHeight="1" x14ac:dyDescent="0.3">
      <c r="A108" s="95" t="s">
        <v>355</v>
      </c>
      <c r="B108" s="91" t="s">
        <v>65</v>
      </c>
      <c r="C108" s="144" t="s">
        <v>339</v>
      </c>
      <c r="D108" s="91" t="s">
        <v>65</v>
      </c>
      <c r="E108" s="91" t="s">
        <v>144</v>
      </c>
      <c r="F108" s="91">
        <v>47131700</v>
      </c>
      <c r="G108" s="247" t="s">
        <v>358</v>
      </c>
      <c r="H108" s="87">
        <v>2</v>
      </c>
      <c r="I108" s="87">
        <v>3</v>
      </c>
      <c r="J108" s="87">
        <v>9</v>
      </c>
      <c r="K108" s="72">
        <v>1</v>
      </c>
      <c r="L108" s="7" t="s">
        <v>189</v>
      </c>
      <c r="M108" s="87" t="s">
        <v>121</v>
      </c>
      <c r="N108" s="96">
        <v>800000</v>
      </c>
      <c r="O108" s="7">
        <v>0</v>
      </c>
      <c r="P108" s="7">
        <v>0</v>
      </c>
      <c r="Q108" s="91" t="s">
        <v>47</v>
      </c>
      <c r="R108" s="91" t="s">
        <v>48</v>
      </c>
      <c r="S108" s="63" t="s">
        <v>146</v>
      </c>
      <c r="T108" s="89">
        <v>3846666</v>
      </c>
      <c r="U108" s="94" t="s">
        <v>147</v>
      </c>
      <c r="V108" s="91" t="s">
        <v>323</v>
      </c>
      <c r="W108" s="75" t="s">
        <v>158</v>
      </c>
      <c r="X108" s="97" t="s">
        <v>148</v>
      </c>
      <c r="Y108" s="91"/>
      <c r="Z108" s="91"/>
      <c r="AA108" s="256">
        <v>500000</v>
      </c>
      <c r="AB108" s="8">
        <f t="shared" si="14"/>
        <v>300000</v>
      </c>
      <c r="AC108" s="180">
        <v>7621</v>
      </c>
      <c r="AD108" s="181">
        <v>88157.311199999996</v>
      </c>
      <c r="AE108" s="181">
        <f t="shared" si="10"/>
        <v>211842.6888</v>
      </c>
      <c r="AF108" s="295">
        <v>8321</v>
      </c>
      <c r="AG108" s="291">
        <v>44281</v>
      </c>
      <c r="AH108" s="276">
        <v>88157.311199999996</v>
      </c>
      <c r="AI108" s="276">
        <f t="shared" si="11"/>
        <v>211842.6888</v>
      </c>
      <c r="AJ108" s="275" t="s">
        <v>327</v>
      </c>
      <c r="AK108" s="275" t="s">
        <v>328</v>
      </c>
      <c r="AL108" s="179"/>
      <c r="AM108" s="91" t="s">
        <v>129</v>
      </c>
    </row>
    <row r="109" spans="1:39" s="90" customFormat="1" ht="37.5" customHeight="1" x14ac:dyDescent="0.3">
      <c r="A109" s="95" t="s">
        <v>355</v>
      </c>
      <c r="B109" s="91" t="s">
        <v>65</v>
      </c>
      <c r="C109" s="144" t="s">
        <v>339</v>
      </c>
      <c r="D109" s="91" t="s">
        <v>65</v>
      </c>
      <c r="E109" s="91" t="s">
        <v>144</v>
      </c>
      <c r="F109" s="91">
        <v>47131800</v>
      </c>
      <c r="G109" s="247" t="s">
        <v>359</v>
      </c>
      <c r="H109" s="87">
        <v>2</v>
      </c>
      <c r="I109" s="87">
        <v>3</v>
      </c>
      <c r="J109" s="87">
        <v>9</v>
      </c>
      <c r="K109" s="72">
        <v>1</v>
      </c>
      <c r="L109" s="7" t="s">
        <v>189</v>
      </c>
      <c r="M109" s="87" t="s">
        <v>46</v>
      </c>
      <c r="N109" s="96">
        <f>3000000-121631</f>
        <v>2878369</v>
      </c>
      <c r="O109" s="7">
        <v>0</v>
      </c>
      <c r="P109" s="7">
        <v>0</v>
      </c>
      <c r="Q109" s="91" t="s">
        <v>47</v>
      </c>
      <c r="R109" s="91" t="s">
        <v>48</v>
      </c>
      <c r="S109" s="63" t="s">
        <v>146</v>
      </c>
      <c r="T109" s="89">
        <v>3846666</v>
      </c>
      <c r="U109" s="94" t="s">
        <v>147</v>
      </c>
      <c r="V109" s="91" t="s">
        <v>323</v>
      </c>
      <c r="W109" s="75" t="s">
        <v>158</v>
      </c>
      <c r="X109" s="97" t="s">
        <v>148</v>
      </c>
      <c r="Y109" s="91"/>
      <c r="Z109" s="91"/>
      <c r="AA109" s="256">
        <v>1500000</v>
      </c>
      <c r="AB109" s="8">
        <f t="shared" ref="AB109:AB143" si="16">+N109+Y109+Z109-AA109</f>
        <v>1378369</v>
      </c>
      <c r="AC109" s="180">
        <v>7621</v>
      </c>
      <c r="AD109" s="181">
        <v>487899.12549000001</v>
      </c>
      <c r="AE109" s="181">
        <f t="shared" si="10"/>
        <v>890469.87450999999</v>
      </c>
      <c r="AF109" s="295">
        <v>8321</v>
      </c>
      <c r="AG109" s="291">
        <v>44281</v>
      </c>
      <c r="AH109" s="276">
        <v>487899.12549000001</v>
      </c>
      <c r="AI109" s="276">
        <f t="shared" si="11"/>
        <v>890469.87450999999</v>
      </c>
      <c r="AJ109" s="275" t="s">
        <v>327</v>
      </c>
      <c r="AK109" s="275" t="s">
        <v>328</v>
      </c>
      <c r="AL109" s="179"/>
      <c r="AM109" s="91" t="s">
        <v>129</v>
      </c>
    </row>
    <row r="110" spans="1:39" s="90" customFormat="1" ht="37.5" customHeight="1" x14ac:dyDescent="0.3">
      <c r="A110" s="95" t="s">
        <v>355</v>
      </c>
      <c r="B110" s="91" t="s">
        <v>65</v>
      </c>
      <c r="C110" s="144" t="s">
        <v>339</v>
      </c>
      <c r="D110" s="91" t="s">
        <v>65</v>
      </c>
      <c r="E110" s="91" t="s">
        <v>144</v>
      </c>
      <c r="F110" s="91">
        <v>47131800</v>
      </c>
      <c r="G110" s="88" t="s">
        <v>359</v>
      </c>
      <c r="H110" s="87">
        <v>2</v>
      </c>
      <c r="I110" s="87">
        <v>3</v>
      </c>
      <c r="J110" s="87">
        <v>9</v>
      </c>
      <c r="K110" s="72">
        <v>1</v>
      </c>
      <c r="L110" s="7" t="s">
        <v>189</v>
      </c>
      <c r="M110" s="87" t="s">
        <v>121</v>
      </c>
      <c r="N110" s="96">
        <v>121631</v>
      </c>
      <c r="O110" s="7">
        <v>0</v>
      </c>
      <c r="P110" s="7">
        <v>0</v>
      </c>
      <c r="Q110" s="91" t="s">
        <v>47</v>
      </c>
      <c r="R110" s="91" t="s">
        <v>48</v>
      </c>
      <c r="S110" s="63" t="s">
        <v>146</v>
      </c>
      <c r="T110" s="89">
        <v>3846666</v>
      </c>
      <c r="U110" s="94" t="s">
        <v>147</v>
      </c>
      <c r="V110" s="91" t="s">
        <v>323</v>
      </c>
      <c r="W110" s="75" t="s">
        <v>158</v>
      </c>
      <c r="X110" s="97" t="s">
        <v>148</v>
      </c>
      <c r="Y110" s="91"/>
      <c r="Z110" s="91"/>
      <c r="AA110" s="258"/>
      <c r="AB110" s="8">
        <f t="shared" si="16"/>
        <v>121631</v>
      </c>
      <c r="AC110" s="248"/>
      <c r="AD110" s="250"/>
      <c r="AE110" s="249">
        <f t="shared" si="10"/>
        <v>121631</v>
      </c>
      <c r="AF110" s="248"/>
      <c r="AG110" s="248"/>
      <c r="AH110" s="249"/>
      <c r="AI110" s="249">
        <f t="shared" si="11"/>
        <v>121631</v>
      </c>
      <c r="AJ110" s="248"/>
      <c r="AK110" s="248"/>
      <c r="AL110" s="249"/>
      <c r="AM110" s="91"/>
    </row>
    <row r="111" spans="1:39" s="90" customFormat="1" ht="37.5" customHeight="1" x14ac:dyDescent="0.3">
      <c r="A111" s="95" t="s">
        <v>360</v>
      </c>
      <c r="B111" s="91" t="s">
        <v>65</v>
      </c>
      <c r="C111" s="144" t="s">
        <v>339</v>
      </c>
      <c r="D111" s="91" t="s">
        <v>65</v>
      </c>
      <c r="E111" s="91" t="s">
        <v>144</v>
      </c>
      <c r="F111" s="91" t="s">
        <v>361</v>
      </c>
      <c r="G111" s="247" t="s">
        <v>362</v>
      </c>
      <c r="H111" s="87">
        <v>2</v>
      </c>
      <c r="I111" s="87">
        <v>3</v>
      </c>
      <c r="J111" s="87">
        <v>9</v>
      </c>
      <c r="K111" s="72">
        <v>1</v>
      </c>
      <c r="L111" s="7" t="s">
        <v>189</v>
      </c>
      <c r="M111" s="87" t="s">
        <v>121</v>
      </c>
      <c r="N111" s="96">
        <v>800000</v>
      </c>
      <c r="O111" s="7">
        <v>0</v>
      </c>
      <c r="P111" s="7">
        <v>0</v>
      </c>
      <c r="Q111" s="91" t="s">
        <v>47</v>
      </c>
      <c r="R111" s="91" t="s">
        <v>48</v>
      </c>
      <c r="S111" s="63" t="s">
        <v>146</v>
      </c>
      <c r="T111" s="89">
        <v>3846666</v>
      </c>
      <c r="U111" s="94" t="s">
        <v>147</v>
      </c>
      <c r="V111" s="91" t="s">
        <v>323</v>
      </c>
      <c r="W111" s="75" t="s">
        <v>158</v>
      </c>
      <c r="X111" s="97" t="s">
        <v>148</v>
      </c>
      <c r="Y111" s="91"/>
      <c r="Z111" s="91"/>
      <c r="AA111" s="256">
        <v>250000</v>
      </c>
      <c r="AB111" s="8">
        <f t="shared" si="16"/>
        <v>550000</v>
      </c>
      <c r="AC111" s="180">
        <v>7621</v>
      </c>
      <c r="AD111" s="181">
        <v>290204.36297999998</v>
      </c>
      <c r="AE111" s="181">
        <f t="shared" si="10"/>
        <v>259795.63702000002</v>
      </c>
      <c r="AF111" s="295">
        <v>8321</v>
      </c>
      <c r="AG111" s="291">
        <v>44281</v>
      </c>
      <c r="AH111" s="276">
        <v>290204.36297999998</v>
      </c>
      <c r="AI111" s="276">
        <f t="shared" si="11"/>
        <v>259795.63702000002</v>
      </c>
      <c r="AJ111" s="275" t="s">
        <v>327</v>
      </c>
      <c r="AK111" s="275" t="s">
        <v>328</v>
      </c>
      <c r="AL111" s="179"/>
      <c r="AM111" s="91" t="s">
        <v>129</v>
      </c>
    </row>
    <row r="112" spans="1:39" s="90" customFormat="1" ht="104.25" customHeight="1" x14ac:dyDescent="0.3">
      <c r="A112" s="95" t="s">
        <v>363</v>
      </c>
      <c r="B112" s="91" t="s">
        <v>65</v>
      </c>
      <c r="C112" s="144" t="s">
        <v>339</v>
      </c>
      <c r="D112" s="91" t="s">
        <v>65</v>
      </c>
      <c r="E112" s="91" t="s">
        <v>144</v>
      </c>
      <c r="F112" s="91" t="s">
        <v>364</v>
      </c>
      <c r="G112" s="88" t="s">
        <v>365</v>
      </c>
      <c r="H112" s="87">
        <v>6</v>
      </c>
      <c r="I112" s="87">
        <v>6</v>
      </c>
      <c r="J112" s="87">
        <v>1</v>
      </c>
      <c r="K112" s="72">
        <v>1</v>
      </c>
      <c r="L112" s="7" t="s">
        <v>189</v>
      </c>
      <c r="M112" s="87" t="s">
        <v>46</v>
      </c>
      <c r="N112" s="119">
        <f>2000000-500000</f>
        <v>1500000</v>
      </c>
      <c r="O112" s="7">
        <v>0</v>
      </c>
      <c r="P112" s="7">
        <v>0</v>
      </c>
      <c r="Q112" s="91" t="s">
        <v>47</v>
      </c>
      <c r="R112" s="91" t="s">
        <v>48</v>
      </c>
      <c r="S112" s="63" t="s">
        <v>146</v>
      </c>
      <c r="T112" s="89">
        <v>3846666</v>
      </c>
      <c r="U112" s="94" t="s">
        <v>147</v>
      </c>
      <c r="V112" s="91" t="s">
        <v>323</v>
      </c>
      <c r="W112" s="75" t="s">
        <v>158</v>
      </c>
      <c r="X112" s="97" t="s">
        <v>148</v>
      </c>
      <c r="Y112" s="91"/>
      <c r="Z112" s="91"/>
      <c r="AA112" s="258"/>
      <c r="AB112" s="8">
        <f t="shared" si="16"/>
        <v>1500000</v>
      </c>
      <c r="AC112" s="248"/>
      <c r="AD112" s="249"/>
      <c r="AE112" s="249">
        <f t="shared" si="10"/>
        <v>1500000</v>
      </c>
      <c r="AF112" s="248"/>
      <c r="AG112" s="248"/>
      <c r="AH112" s="249"/>
      <c r="AI112" s="249">
        <f t="shared" si="11"/>
        <v>1500000</v>
      </c>
      <c r="AJ112" s="248"/>
      <c r="AK112" s="248"/>
      <c r="AL112" s="249"/>
      <c r="AM112" s="91"/>
    </row>
    <row r="113" spans="1:39" s="90" customFormat="1" ht="104.25" customHeight="1" x14ac:dyDescent="0.3">
      <c r="A113" s="98" t="s">
        <v>366</v>
      </c>
      <c r="B113" s="91" t="s">
        <v>65</v>
      </c>
      <c r="C113" s="91" t="s">
        <v>367</v>
      </c>
      <c r="D113" s="91" t="s">
        <v>65</v>
      </c>
      <c r="E113" s="91" t="s">
        <v>144</v>
      </c>
      <c r="F113" s="99">
        <v>43233200</v>
      </c>
      <c r="G113" s="99" t="s">
        <v>368</v>
      </c>
      <c r="H113" s="89">
        <v>10</v>
      </c>
      <c r="I113" s="89">
        <v>10</v>
      </c>
      <c r="J113" s="89">
        <v>1</v>
      </c>
      <c r="K113" s="72">
        <v>1</v>
      </c>
      <c r="L113" s="7" t="s">
        <v>189</v>
      </c>
      <c r="M113" s="89" t="s">
        <v>46</v>
      </c>
      <c r="N113" s="96">
        <v>3000000</v>
      </c>
      <c r="O113" s="7">
        <v>0</v>
      </c>
      <c r="P113" s="7">
        <v>0</v>
      </c>
      <c r="Q113" s="91" t="s">
        <v>47</v>
      </c>
      <c r="R113" s="91" t="s">
        <v>48</v>
      </c>
      <c r="S113" s="100" t="s">
        <v>146</v>
      </c>
      <c r="T113" s="72">
        <v>3846666</v>
      </c>
      <c r="U113" s="101" t="s">
        <v>147</v>
      </c>
      <c r="V113" s="91" t="s">
        <v>323</v>
      </c>
      <c r="W113" s="89" t="s">
        <v>158</v>
      </c>
      <c r="X113" s="75" t="s">
        <v>148</v>
      </c>
      <c r="Y113" s="91"/>
      <c r="Z113" s="91"/>
      <c r="AA113" s="258"/>
      <c r="AB113" s="8">
        <f t="shared" si="16"/>
        <v>3000000</v>
      </c>
      <c r="AC113" s="248"/>
      <c r="AD113" s="249"/>
      <c r="AE113" s="249">
        <f t="shared" si="10"/>
        <v>3000000</v>
      </c>
      <c r="AF113" s="248"/>
      <c r="AG113" s="248"/>
      <c r="AH113" s="249"/>
      <c r="AI113" s="249">
        <f t="shared" si="11"/>
        <v>3000000</v>
      </c>
      <c r="AJ113" s="248"/>
      <c r="AK113" s="248"/>
      <c r="AL113" s="249"/>
      <c r="AM113" s="91"/>
    </row>
    <row r="114" spans="1:39" s="90" customFormat="1" ht="104.25" customHeight="1" x14ac:dyDescent="0.3">
      <c r="A114" s="270" t="s">
        <v>369</v>
      </c>
      <c r="B114" s="91" t="s">
        <v>65</v>
      </c>
      <c r="C114" s="271" t="s">
        <v>370</v>
      </c>
      <c r="D114" s="91" t="s">
        <v>65</v>
      </c>
      <c r="E114" s="91" t="s">
        <v>144</v>
      </c>
      <c r="F114" s="91">
        <v>72103300</v>
      </c>
      <c r="G114" s="125" t="s">
        <v>371</v>
      </c>
      <c r="H114" s="89">
        <v>3</v>
      </c>
      <c r="I114" s="89">
        <v>5</v>
      </c>
      <c r="J114" s="89">
        <v>3</v>
      </c>
      <c r="K114" s="72">
        <v>1</v>
      </c>
      <c r="L114" s="91" t="s">
        <v>157</v>
      </c>
      <c r="M114" s="272" t="s">
        <v>121</v>
      </c>
      <c r="N114" s="96">
        <v>0</v>
      </c>
      <c r="O114" s="7">
        <v>0</v>
      </c>
      <c r="P114" s="7">
        <v>0</v>
      </c>
      <c r="Q114" s="91" t="s">
        <v>47</v>
      </c>
      <c r="R114" s="91" t="s">
        <v>48</v>
      </c>
      <c r="S114" s="88" t="s">
        <v>146</v>
      </c>
      <c r="T114" s="89">
        <v>3846666</v>
      </c>
      <c r="U114" s="94" t="s">
        <v>147</v>
      </c>
      <c r="V114" s="91" t="s">
        <v>323</v>
      </c>
      <c r="W114" s="75" t="s">
        <v>372</v>
      </c>
      <c r="X114" s="99" t="s">
        <v>148</v>
      </c>
      <c r="Y114" s="252">
        <f>17645867+23509.67+481488.84+1523964.68+600000+9895+300000+500000+250000+9000000+155820+1424558.66</f>
        <v>31915103.850000001</v>
      </c>
      <c r="Z114" s="91"/>
      <c r="AA114" s="258"/>
      <c r="AB114" s="8">
        <f t="shared" si="16"/>
        <v>31915103.850000001</v>
      </c>
      <c r="AC114" s="289">
        <v>11421</v>
      </c>
      <c r="AD114" s="290">
        <v>20027418</v>
      </c>
      <c r="AE114" s="290">
        <f t="shared" si="10"/>
        <v>11887685.850000001</v>
      </c>
      <c r="AF114" s="248"/>
      <c r="AG114" s="248"/>
      <c r="AH114" s="249"/>
      <c r="AI114" s="249">
        <f t="shared" si="11"/>
        <v>31915103.850000001</v>
      </c>
      <c r="AJ114" s="248"/>
      <c r="AK114" s="248"/>
      <c r="AL114" s="249"/>
      <c r="AM114" s="91" t="s">
        <v>129</v>
      </c>
    </row>
    <row r="115" spans="1:39" s="90" customFormat="1" ht="104.25" customHeight="1" x14ac:dyDescent="0.3">
      <c r="A115" s="95" t="s">
        <v>369</v>
      </c>
      <c r="B115" s="91" t="s">
        <v>65</v>
      </c>
      <c r="C115" s="139" t="s">
        <v>370</v>
      </c>
      <c r="D115" s="91" t="s">
        <v>65</v>
      </c>
      <c r="E115" s="91" t="s">
        <v>144</v>
      </c>
      <c r="F115" s="91">
        <v>72103300</v>
      </c>
      <c r="G115" s="88" t="s">
        <v>371</v>
      </c>
      <c r="H115" s="89">
        <v>3</v>
      </c>
      <c r="I115" s="89">
        <v>5</v>
      </c>
      <c r="J115" s="89">
        <v>3</v>
      </c>
      <c r="K115" s="72">
        <v>1</v>
      </c>
      <c r="L115" s="91" t="s">
        <v>157</v>
      </c>
      <c r="M115" s="89" t="s">
        <v>46</v>
      </c>
      <c r="N115" s="96">
        <v>60000000</v>
      </c>
      <c r="O115" s="7">
        <v>0</v>
      </c>
      <c r="P115" s="7">
        <v>0</v>
      </c>
      <c r="Q115" s="91" t="s">
        <v>47</v>
      </c>
      <c r="R115" s="91" t="s">
        <v>48</v>
      </c>
      <c r="S115" s="88" t="s">
        <v>146</v>
      </c>
      <c r="T115" s="89">
        <v>3846666</v>
      </c>
      <c r="U115" s="94" t="s">
        <v>147</v>
      </c>
      <c r="V115" s="91" t="s">
        <v>323</v>
      </c>
      <c r="W115" s="75" t="s">
        <v>372</v>
      </c>
      <c r="X115" s="99" t="s">
        <v>148</v>
      </c>
      <c r="Y115" s="91"/>
      <c r="Z115" s="253">
        <v>2889897</v>
      </c>
      <c r="AA115" s="258"/>
      <c r="AB115" s="8">
        <f t="shared" si="16"/>
        <v>62889897</v>
      </c>
      <c r="AC115" s="180">
        <v>11421</v>
      </c>
      <c r="AD115" s="181">
        <v>62889897</v>
      </c>
      <c r="AE115" s="181">
        <f t="shared" si="10"/>
        <v>0</v>
      </c>
      <c r="AF115" s="248"/>
      <c r="AG115" s="248"/>
      <c r="AH115" s="249"/>
      <c r="AI115" s="249">
        <f t="shared" si="11"/>
        <v>62889897</v>
      </c>
      <c r="AJ115" s="248"/>
      <c r="AK115" s="248"/>
      <c r="AL115" s="249"/>
      <c r="AM115" s="91" t="s">
        <v>129</v>
      </c>
    </row>
    <row r="116" spans="1:39" s="90" customFormat="1" ht="36.75" customHeight="1" x14ac:dyDescent="0.3">
      <c r="A116" s="95" t="s">
        <v>373</v>
      </c>
      <c r="B116" s="91" t="s">
        <v>65</v>
      </c>
      <c r="C116" s="137" t="s">
        <v>374</v>
      </c>
      <c r="D116" s="91" t="s">
        <v>65</v>
      </c>
      <c r="E116" s="91" t="s">
        <v>144</v>
      </c>
      <c r="F116" s="91" t="s">
        <v>65</v>
      </c>
      <c r="G116" s="88" t="s">
        <v>375</v>
      </c>
      <c r="H116" s="89" t="s">
        <v>65</v>
      </c>
      <c r="I116" s="89" t="s">
        <v>65</v>
      </c>
      <c r="J116" s="89" t="s">
        <v>65</v>
      </c>
      <c r="K116" s="89" t="s">
        <v>65</v>
      </c>
      <c r="L116" s="91" t="s">
        <v>67</v>
      </c>
      <c r="M116" s="89" t="s">
        <v>46</v>
      </c>
      <c r="N116" s="96">
        <f>220000*11</f>
        <v>2420000</v>
      </c>
      <c r="O116" s="7">
        <v>0</v>
      </c>
      <c r="P116" s="7">
        <v>0</v>
      </c>
      <c r="Q116" s="91" t="s">
        <v>47</v>
      </c>
      <c r="R116" s="91" t="s">
        <v>48</v>
      </c>
      <c r="S116" s="88" t="s">
        <v>146</v>
      </c>
      <c r="T116" s="89">
        <v>3846666</v>
      </c>
      <c r="U116" s="94" t="s">
        <v>147</v>
      </c>
      <c r="V116" s="91" t="s">
        <v>323</v>
      </c>
      <c r="W116" s="75" t="s">
        <v>332</v>
      </c>
      <c r="X116" s="99" t="s">
        <v>148</v>
      </c>
      <c r="Y116" s="91"/>
      <c r="Z116" s="91"/>
      <c r="AA116" s="258"/>
      <c r="AB116" s="8">
        <f t="shared" si="16"/>
        <v>2420000</v>
      </c>
      <c r="AC116" s="180" t="s">
        <v>341</v>
      </c>
      <c r="AD116" s="181">
        <f>220000+120000</f>
        <v>340000</v>
      </c>
      <c r="AE116" s="181">
        <f t="shared" si="10"/>
        <v>2080000</v>
      </c>
      <c r="AF116" s="275" t="s">
        <v>342</v>
      </c>
      <c r="AG116" s="291" t="s">
        <v>343</v>
      </c>
      <c r="AH116" s="276">
        <f>220000+120000</f>
        <v>340000</v>
      </c>
      <c r="AI116" s="276">
        <f t="shared" si="11"/>
        <v>2080000</v>
      </c>
      <c r="AJ116" s="275" t="s">
        <v>344</v>
      </c>
      <c r="AK116" s="275" t="s">
        <v>332</v>
      </c>
      <c r="AL116" s="184">
        <f>220000+120000</f>
        <v>340000</v>
      </c>
      <c r="AM116" s="91"/>
    </row>
    <row r="117" spans="1:39" s="90" customFormat="1" ht="104.25" customHeight="1" x14ac:dyDescent="0.3">
      <c r="A117" s="95" t="s">
        <v>376</v>
      </c>
      <c r="B117" s="91" t="s">
        <v>65</v>
      </c>
      <c r="C117" s="137" t="s">
        <v>374</v>
      </c>
      <c r="D117" s="91" t="s">
        <v>65</v>
      </c>
      <c r="E117" s="91" t="s">
        <v>144</v>
      </c>
      <c r="F117" s="91" t="s">
        <v>65</v>
      </c>
      <c r="G117" s="88" t="s">
        <v>377</v>
      </c>
      <c r="H117" s="89" t="s">
        <v>65</v>
      </c>
      <c r="I117" s="89" t="s">
        <v>65</v>
      </c>
      <c r="J117" s="89" t="s">
        <v>65</v>
      </c>
      <c r="K117" s="89" t="s">
        <v>65</v>
      </c>
      <c r="L117" s="91" t="s">
        <v>67</v>
      </c>
      <c r="M117" s="89" t="s">
        <v>121</v>
      </c>
      <c r="N117" s="119">
        <f>47000000-10000000</f>
        <v>37000000</v>
      </c>
      <c r="O117" s="7">
        <v>0</v>
      </c>
      <c r="P117" s="7">
        <v>0</v>
      </c>
      <c r="Q117" s="91" t="s">
        <v>47</v>
      </c>
      <c r="R117" s="91" t="s">
        <v>48</v>
      </c>
      <c r="S117" s="88" t="s">
        <v>146</v>
      </c>
      <c r="T117" s="89">
        <v>3846666</v>
      </c>
      <c r="U117" s="94" t="s">
        <v>147</v>
      </c>
      <c r="V117" s="91" t="s">
        <v>323</v>
      </c>
      <c r="W117" s="75" t="s">
        <v>86</v>
      </c>
      <c r="X117" s="99" t="s">
        <v>148</v>
      </c>
      <c r="Y117" s="91"/>
      <c r="Z117" s="91"/>
      <c r="AA117" s="258"/>
      <c r="AB117" s="8">
        <f t="shared" si="16"/>
        <v>37000000</v>
      </c>
      <c r="AC117" s="180" t="s">
        <v>378</v>
      </c>
      <c r="AD117" s="181">
        <f>1419440+2279590+2451973+2246650+2045600</f>
        <v>10443253</v>
      </c>
      <c r="AE117" s="181">
        <f t="shared" si="10"/>
        <v>26556747</v>
      </c>
      <c r="AF117" s="275" t="s">
        <v>824</v>
      </c>
      <c r="AG117" s="291" t="s">
        <v>825</v>
      </c>
      <c r="AH117" s="276">
        <f>1419440+2279590+2451973+2246650+2045600</f>
        <v>10443253</v>
      </c>
      <c r="AI117" s="276">
        <f t="shared" si="11"/>
        <v>26556747</v>
      </c>
      <c r="AJ117" s="275" t="s">
        <v>379</v>
      </c>
      <c r="AK117" s="275" t="s">
        <v>380</v>
      </c>
      <c r="AL117" s="184">
        <f>1419440+2279590+2451973+2246650+2045600</f>
        <v>10443253</v>
      </c>
      <c r="AM117" s="91"/>
    </row>
    <row r="118" spans="1:39" s="90" customFormat="1" ht="104.25" customHeight="1" x14ac:dyDescent="0.3">
      <c r="A118" s="95" t="s">
        <v>376</v>
      </c>
      <c r="B118" s="91" t="s">
        <v>65</v>
      </c>
      <c r="C118" s="137" t="s">
        <v>374</v>
      </c>
      <c r="D118" s="91" t="s">
        <v>65</v>
      </c>
      <c r="E118" s="91" t="s">
        <v>144</v>
      </c>
      <c r="F118" s="91" t="s">
        <v>65</v>
      </c>
      <c r="G118" s="88" t="s">
        <v>381</v>
      </c>
      <c r="H118" s="89" t="s">
        <v>65</v>
      </c>
      <c r="I118" s="89" t="s">
        <v>65</v>
      </c>
      <c r="J118" s="89" t="s">
        <v>65</v>
      </c>
      <c r="K118" s="89" t="s">
        <v>65</v>
      </c>
      <c r="L118" s="91" t="s">
        <v>67</v>
      </c>
      <c r="M118" s="89" t="s">
        <v>121</v>
      </c>
      <c r="N118" s="119">
        <f>6000000-2000000</f>
        <v>4000000</v>
      </c>
      <c r="O118" s="7">
        <v>0</v>
      </c>
      <c r="P118" s="7">
        <v>0</v>
      </c>
      <c r="Q118" s="91" t="s">
        <v>47</v>
      </c>
      <c r="R118" s="91" t="s">
        <v>48</v>
      </c>
      <c r="S118" s="88" t="s">
        <v>146</v>
      </c>
      <c r="T118" s="89">
        <v>3846666</v>
      </c>
      <c r="U118" s="94" t="s">
        <v>147</v>
      </c>
      <c r="V118" s="91" t="s">
        <v>323</v>
      </c>
      <c r="W118" s="75" t="s">
        <v>86</v>
      </c>
      <c r="X118" s="99" t="s">
        <v>148</v>
      </c>
      <c r="Y118" s="91"/>
      <c r="Z118" s="91"/>
      <c r="AA118" s="258"/>
      <c r="AB118" s="8">
        <f t="shared" si="16"/>
        <v>4000000</v>
      </c>
      <c r="AC118" s="180" t="s">
        <v>819</v>
      </c>
      <c r="AD118" s="181">
        <f>275960+88296+106156</f>
        <v>470412</v>
      </c>
      <c r="AE118" s="181">
        <f t="shared" si="10"/>
        <v>3529588</v>
      </c>
      <c r="AF118" s="275" t="s">
        <v>820</v>
      </c>
      <c r="AG118" s="291" t="s">
        <v>821</v>
      </c>
      <c r="AH118" s="276">
        <f>275960+88296+106156</f>
        <v>470412</v>
      </c>
      <c r="AI118" s="276">
        <f t="shared" si="11"/>
        <v>3529588</v>
      </c>
      <c r="AJ118" s="275" t="s">
        <v>379</v>
      </c>
      <c r="AK118" s="275" t="s">
        <v>382</v>
      </c>
      <c r="AL118" s="184">
        <f>275960+88296+106156</f>
        <v>470412</v>
      </c>
      <c r="AM118" s="91"/>
    </row>
    <row r="119" spans="1:39" s="90" customFormat="1" ht="104.25" customHeight="1" x14ac:dyDescent="0.3">
      <c r="A119" s="95" t="s">
        <v>383</v>
      </c>
      <c r="B119" s="91" t="s">
        <v>65</v>
      </c>
      <c r="C119" s="138" t="s">
        <v>384</v>
      </c>
      <c r="D119" s="91" t="s">
        <v>65</v>
      </c>
      <c r="E119" s="91" t="s">
        <v>144</v>
      </c>
      <c r="F119" s="91">
        <v>84131501</v>
      </c>
      <c r="G119" s="88" t="s">
        <v>385</v>
      </c>
      <c r="H119" s="89">
        <v>3</v>
      </c>
      <c r="I119" s="89">
        <v>5</v>
      </c>
      <c r="J119" s="89">
        <v>6</v>
      </c>
      <c r="K119" s="72">
        <v>1</v>
      </c>
      <c r="L119" s="91" t="s">
        <v>157</v>
      </c>
      <c r="M119" s="89" t="s">
        <v>121</v>
      </c>
      <c r="N119" s="96">
        <v>37694322</v>
      </c>
      <c r="O119" s="7">
        <v>0</v>
      </c>
      <c r="P119" s="7">
        <v>0</v>
      </c>
      <c r="Q119" s="91" t="s">
        <v>47</v>
      </c>
      <c r="R119" s="91" t="s">
        <v>48</v>
      </c>
      <c r="S119" s="88" t="s">
        <v>146</v>
      </c>
      <c r="T119" s="89">
        <v>3846666</v>
      </c>
      <c r="U119" s="94" t="s">
        <v>147</v>
      </c>
      <c r="V119" s="91" t="s">
        <v>323</v>
      </c>
      <c r="W119" s="75" t="s">
        <v>86</v>
      </c>
      <c r="X119" s="99" t="s">
        <v>148</v>
      </c>
      <c r="Y119" s="91"/>
      <c r="Z119" s="91"/>
      <c r="AA119" s="256">
        <v>9000000</v>
      </c>
      <c r="AB119" s="8">
        <f t="shared" si="16"/>
        <v>28694322</v>
      </c>
      <c r="AC119" s="180" t="s">
        <v>386</v>
      </c>
      <c r="AD119" s="181">
        <f>6579674+13205448</f>
        <v>19785122</v>
      </c>
      <c r="AE119" s="181">
        <f t="shared" si="10"/>
        <v>8909200</v>
      </c>
      <c r="AF119" s="275">
        <v>11321</v>
      </c>
      <c r="AG119" s="291">
        <v>44343</v>
      </c>
      <c r="AH119" s="276">
        <v>6579674</v>
      </c>
      <c r="AI119" s="276">
        <f t="shared" si="11"/>
        <v>22114648</v>
      </c>
      <c r="AJ119" s="275"/>
      <c r="AK119" s="275"/>
      <c r="AL119" s="249"/>
      <c r="AM119" s="91" t="s">
        <v>129</v>
      </c>
    </row>
    <row r="120" spans="1:39" s="90" customFormat="1" ht="104.25" customHeight="1" x14ac:dyDescent="0.3">
      <c r="A120" s="95" t="s">
        <v>383</v>
      </c>
      <c r="B120" s="91" t="s">
        <v>65</v>
      </c>
      <c r="C120" s="138" t="s">
        <v>384</v>
      </c>
      <c r="D120" s="91" t="s">
        <v>65</v>
      </c>
      <c r="E120" s="91" t="s">
        <v>144</v>
      </c>
      <c r="F120" s="91">
        <v>84131501</v>
      </c>
      <c r="G120" s="88" t="s">
        <v>387</v>
      </c>
      <c r="H120" s="89">
        <v>1</v>
      </c>
      <c r="I120" s="89">
        <v>6</v>
      </c>
      <c r="J120" s="89">
        <v>6</v>
      </c>
      <c r="K120" s="72">
        <v>1</v>
      </c>
      <c r="L120" s="91" t="s">
        <v>157</v>
      </c>
      <c r="M120" s="89" t="s">
        <v>46</v>
      </c>
      <c r="N120" s="96">
        <v>21305678</v>
      </c>
      <c r="O120" s="91">
        <v>1</v>
      </c>
      <c r="P120" s="91">
        <v>3</v>
      </c>
      <c r="Q120" s="91" t="s">
        <v>47</v>
      </c>
      <c r="R120" s="91" t="s">
        <v>48</v>
      </c>
      <c r="S120" s="88" t="s">
        <v>146</v>
      </c>
      <c r="T120" s="89">
        <v>3846666</v>
      </c>
      <c r="U120" s="94" t="s">
        <v>147</v>
      </c>
      <c r="V120" s="91" t="s">
        <v>323</v>
      </c>
      <c r="W120" s="75" t="s">
        <v>86</v>
      </c>
      <c r="X120" s="99" t="s">
        <v>148</v>
      </c>
      <c r="Y120" s="91"/>
      <c r="Z120" s="91"/>
      <c r="AA120" s="258"/>
      <c r="AB120" s="8">
        <f t="shared" si="16"/>
        <v>21305678</v>
      </c>
      <c r="AC120" s="180" t="s">
        <v>388</v>
      </c>
      <c r="AD120" s="181">
        <f>17402790+3902888</f>
        <v>21305678</v>
      </c>
      <c r="AE120" s="181">
        <f t="shared" si="10"/>
        <v>0</v>
      </c>
      <c r="AF120" s="275" t="s">
        <v>389</v>
      </c>
      <c r="AG120" s="291" t="s">
        <v>390</v>
      </c>
      <c r="AH120" s="276">
        <f>17402790+3902888</f>
        <v>21305678</v>
      </c>
      <c r="AI120" s="276">
        <f t="shared" si="11"/>
        <v>0</v>
      </c>
      <c r="AJ120" s="275" t="s">
        <v>391</v>
      </c>
      <c r="AK120" s="275" t="s">
        <v>392</v>
      </c>
      <c r="AL120" s="184">
        <v>16802789.989999998</v>
      </c>
      <c r="AM120" s="91"/>
    </row>
    <row r="121" spans="1:39" s="90" customFormat="1" ht="58.95" customHeight="1" x14ac:dyDescent="0.3">
      <c r="A121" s="95" t="s">
        <v>393</v>
      </c>
      <c r="B121" s="91" t="s">
        <v>65</v>
      </c>
      <c r="C121" s="140" t="s">
        <v>394</v>
      </c>
      <c r="D121" s="91" t="s">
        <v>65</v>
      </c>
      <c r="E121" s="91" t="s">
        <v>144</v>
      </c>
      <c r="F121" s="91" t="s">
        <v>65</v>
      </c>
      <c r="G121" s="88" t="s">
        <v>395</v>
      </c>
      <c r="H121" s="89" t="s">
        <v>65</v>
      </c>
      <c r="I121" s="89" t="s">
        <v>65</v>
      </c>
      <c r="J121" s="89" t="s">
        <v>65</v>
      </c>
      <c r="K121" s="89" t="s">
        <v>65</v>
      </c>
      <c r="L121" s="91" t="s">
        <v>67</v>
      </c>
      <c r="M121" s="89" t="s">
        <v>46</v>
      </c>
      <c r="N121" s="96">
        <f>35000*11</f>
        <v>385000</v>
      </c>
      <c r="O121" s="7">
        <v>0</v>
      </c>
      <c r="P121" s="7">
        <v>0</v>
      </c>
      <c r="Q121" s="91" t="s">
        <v>47</v>
      </c>
      <c r="R121" s="91" t="s">
        <v>48</v>
      </c>
      <c r="S121" s="88" t="s">
        <v>146</v>
      </c>
      <c r="T121" s="89">
        <v>3846666</v>
      </c>
      <c r="U121" s="94" t="s">
        <v>147</v>
      </c>
      <c r="V121" s="91" t="s">
        <v>323</v>
      </c>
      <c r="W121" s="75" t="s">
        <v>332</v>
      </c>
      <c r="X121" s="99" t="s">
        <v>148</v>
      </c>
      <c r="Y121" s="91"/>
      <c r="Z121" s="91"/>
      <c r="AA121" s="258"/>
      <c r="AB121" s="8">
        <f t="shared" si="16"/>
        <v>385000</v>
      </c>
      <c r="AC121" s="180">
        <v>5421</v>
      </c>
      <c r="AD121" s="181">
        <v>35000</v>
      </c>
      <c r="AE121" s="181">
        <f t="shared" si="10"/>
        <v>350000</v>
      </c>
      <c r="AF121" s="275">
        <v>5621</v>
      </c>
      <c r="AG121" s="291">
        <v>44243</v>
      </c>
      <c r="AH121" s="276">
        <v>35000</v>
      </c>
      <c r="AI121" s="276">
        <f t="shared" si="11"/>
        <v>350000</v>
      </c>
      <c r="AJ121" s="275" t="s">
        <v>333</v>
      </c>
      <c r="AK121" s="275" t="s">
        <v>332</v>
      </c>
      <c r="AL121" s="184">
        <v>35000</v>
      </c>
      <c r="AM121" s="91"/>
    </row>
    <row r="122" spans="1:39" s="90" customFormat="1" ht="104.25" customHeight="1" x14ac:dyDescent="0.3">
      <c r="A122" s="95" t="s">
        <v>396</v>
      </c>
      <c r="B122" s="91" t="s">
        <v>65</v>
      </c>
      <c r="C122" s="140" t="s">
        <v>394</v>
      </c>
      <c r="D122" s="91" t="s">
        <v>65</v>
      </c>
      <c r="E122" s="91" t="s">
        <v>144</v>
      </c>
      <c r="F122" s="91">
        <v>80111600</v>
      </c>
      <c r="G122" s="88" t="s">
        <v>397</v>
      </c>
      <c r="H122" s="89">
        <v>1</v>
      </c>
      <c r="I122" s="89">
        <v>1</v>
      </c>
      <c r="J122" s="89">
        <v>11</v>
      </c>
      <c r="K122" s="72">
        <v>1</v>
      </c>
      <c r="L122" s="91" t="s">
        <v>45</v>
      </c>
      <c r="M122" s="89" t="s">
        <v>46</v>
      </c>
      <c r="N122" s="96">
        <f>2731582*11</f>
        <v>30047402</v>
      </c>
      <c r="O122" s="7">
        <v>0</v>
      </c>
      <c r="P122" s="7">
        <v>0</v>
      </c>
      <c r="Q122" s="91" t="s">
        <v>47</v>
      </c>
      <c r="R122" s="91" t="s">
        <v>48</v>
      </c>
      <c r="S122" s="88" t="s">
        <v>146</v>
      </c>
      <c r="T122" s="89">
        <v>3846666</v>
      </c>
      <c r="U122" s="94" t="s">
        <v>147</v>
      </c>
      <c r="V122" s="91" t="s">
        <v>323</v>
      </c>
      <c r="W122" s="75" t="s">
        <v>73</v>
      </c>
      <c r="X122" s="99" t="s">
        <v>148</v>
      </c>
      <c r="Y122" s="91"/>
      <c r="Z122" s="91"/>
      <c r="AA122" s="256">
        <v>73033</v>
      </c>
      <c r="AB122" s="8">
        <f t="shared" si="16"/>
        <v>29974369</v>
      </c>
      <c r="AC122" s="180">
        <v>1521</v>
      </c>
      <c r="AD122" s="181">
        <v>29974369</v>
      </c>
      <c r="AE122" s="181">
        <f t="shared" si="10"/>
        <v>0</v>
      </c>
      <c r="AF122" s="275">
        <v>1521</v>
      </c>
      <c r="AG122" s="291">
        <v>44218</v>
      </c>
      <c r="AH122" s="276">
        <v>29974369</v>
      </c>
      <c r="AI122" s="276">
        <f t="shared" si="11"/>
        <v>0</v>
      </c>
      <c r="AJ122" s="275" t="s">
        <v>398</v>
      </c>
      <c r="AK122" s="275" t="s">
        <v>399</v>
      </c>
      <c r="AL122" s="184">
        <f>2652599+795780+2652599+2652599+2652599</f>
        <v>11406176</v>
      </c>
      <c r="AM122" s="91" t="s">
        <v>129</v>
      </c>
    </row>
    <row r="123" spans="1:39" s="90" customFormat="1" ht="104.25" customHeight="1" x14ac:dyDescent="0.3">
      <c r="A123" s="95" t="s">
        <v>396</v>
      </c>
      <c r="B123" s="91" t="s">
        <v>65</v>
      </c>
      <c r="C123" s="140" t="s">
        <v>394</v>
      </c>
      <c r="D123" s="91" t="s">
        <v>65</v>
      </c>
      <c r="E123" s="91" t="s">
        <v>400</v>
      </c>
      <c r="F123" s="91">
        <v>80111600</v>
      </c>
      <c r="G123" s="88" t="s">
        <v>401</v>
      </c>
      <c r="H123" s="89">
        <v>1</v>
      </c>
      <c r="I123" s="89">
        <v>1</v>
      </c>
      <c r="J123" s="89">
        <v>11</v>
      </c>
      <c r="K123" s="72">
        <v>1</v>
      </c>
      <c r="L123" s="91" t="s">
        <v>45</v>
      </c>
      <c r="M123" s="89" t="s">
        <v>46</v>
      </c>
      <c r="N123" s="96">
        <f>2650000*11</f>
        <v>29150000</v>
      </c>
      <c r="O123" s="7">
        <v>0</v>
      </c>
      <c r="P123" s="7">
        <v>0</v>
      </c>
      <c r="Q123" s="91" t="s">
        <v>47</v>
      </c>
      <c r="R123" s="91" t="s">
        <v>48</v>
      </c>
      <c r="S123" s="88" t="s">
        <v>146</v>
      </c>
      <c r="T123" s="89">
        <v>3846666</v>
      </c>
      <c r="U123" s="94" t="s">
        <v>147</v>
      </c>
      <c r="V123" s="91" t="s">
        <v>323</v>
      </c>
      <c r="W123" s="75" t="s">
        <v>73</v>
      </c>
      <c r="X123" s="99" t="s">
        <v>148</v>
      </c>
      <c r="Y123" s="91"/>
      <c r="Z123" s="243"/>
      <c r="AA123" s="256">
        <f>2500000+1256667</f>
        <v>3756667</v>
      </c>
      <c r="AB123" s="8">
        <f t="shared" si="16"/>
        <v>25393333</v>
      </c>
      <c r="AC123" s="180">
        <v>6221</v>
      </c>
      <c r="AD123" s="181">
        <v>25393333</v>
      </c>
      <c r="AE123" s="181">
        <f t="shared" si="10"/>
        <v>0</v>
      </c>
      <c r="AF123" s="275">
        <v>7221</v>
      </c>
      <c r="AG123" s="291">
        <v>44260</v>
      </c>
      <c r="AH123" s="276">
        <v>25393333</v>
      </c>
      <c r="AI123" s="276">
        <f t="shared" si="11"/>
        <v>0</v>
      </c>
      <c r="AJ123" s="275" t="s">
        <v>402</v>
      </c>
      <c r="AK123" s="275" t="s">
        <v>403</v>
      </c>
      <c r="AL123" s="184">
        <f>1993333+2600000+2600000</f>
        <v>7193333</v>
      </c>
      <c r="AM123" s="91" t="s">
        <v>129</v>
      </c>
    </row>
    <row r="124" spans="1:39" s="90" customFormat="1" ht="104.25" customHeight="1" x14ac:dyDescent="0.3">
      <c r="A124" s="95" t="s">
        <v>396</v>
      </c>
      <c r="B124" s="91" t="s">
        <v>65</v>
      </c>
      <c r="C124" s="140" t="s">
        <v>394</v>
      </c>
      <c r="D124" s="91" t="s">
        <v>65</v>
      </c>
      <c r="E124" s="91" t="s">
        <v>400</v>
      </c>
      <c r="F124" s="91">
        <v>80111600</v>
      </c>
      <c r="G124" s="88" t="s">
        <v>404</v>
      </c>
      <c r="H124" s="89">
        <v>1</v>
      </c>
      <c r="I124" s="89">
        <v>1</v>
      </c>
      <c r="J124" s="89">
        <v>11</v>
      </c>
      <c r="K124" s="72">
        <v>1</v>
      </c>
      <c r="L124" s="91" t="s">
        <v>45</v>
      </c>
      <c r="M124" s="89" t="s">
        <v>46</v>
      </c>
      <c r="N124" s="96">
        <f>(3311421*11)-550000</f>
        <v>35875631</v>
      </c>
      <c r="O124" s="7">
        <v>0</v>
      </c>
      <c r="P124" s="7">
        <v>0</v>
      </c>
      <c r="Q124" s="91" t="s">
        <v>47</v>
      </c>
      <c r="R124" s="91" t="s">
        <v>48</v>
      </c>
      <c r="S124" s="88" t="s">
        <v>146</v>
      </c>
      <c r="T124" s="89">
        <v>3846666</v>
      </c>
      <c r="U124" s="94" t="s">
        <v>147</v>
      </c>
      <c r="V124" s="91" t="s">
        <v>323</v>
      </c>
      <c r="W124" s="75" t="s">
        <v>52</v>
      </c>
      <c r="X124" s="99" t="s">
        <v>148</v>
      </c>
      <c r="Y124" s="91"/>
      <c r="Z124" s="91"/>
      <c r="AA124" s="258"/>
      <c r="AB124" s="8">
        <f t="shared" si="16"/>
        <v>35875631</v>
      </c>
      <c r="AC124" s="180">
        <v>1321</v>
      </c>
      <c r="AD124" s="181">
        <v>35875621</v>
      </c>
      <c r="AE124" s="181">
        <f t="shared" si="10"/>
        <v>10</v>
      </c>
      <c r="AF124" s="275">
        <v>1421</v>
      </c>
      <c r="AG124" s="291">
        <v>44217</v>
      </c>
      <c r="AH124" s="276">
        <v>35875621</v>
      </c>
      <c r="AI124" s="276">
        <f t="shared" si="11"/>
        <v>10</v>
      </c>
      <c r="AJ124" s="275" t="s">
        <v>405</v>
      </c>
      <c r="AK124" s="275" t="s">
        <v>406</v>
      </c>
      <c r="AL124" s="184">
        <f>1055165+844132+2321364+3165496+3165496+3165496</f>
        <v>13717149</v>
      </c>
      <c r="AM124" s="91"/>
    </row>
    <row r="125" spans="1:39" s="90" customFormat="1" ht="104.25" customHeight="1" x14ac:dyDescent="0.3">
      <c r="A125" s="95" t="s">
        <v>396</v>
      </c>
      <c r="B125" s="91" t="s">
        <v>65</v>
      </c>
      <c r="C125" s="140" t="s">
        <v>394</v>
      </c>
      <c r="D125" s="91" t="s">
        <v>65</v>
      </c>
      <c r="E125" s="91" t="s">
        <v>144</v>
      </c>
      <c r="F125" s="91">
        <v>80111600</v>
      </c>
      <c r="G125" s="88" t="s">
        <v>407</v>
      </c>
      <c r="H125" s="89">
        <v>1</v>
      </c>
      <c r="I125" s="89">
        <v>1</v>
      </c>
      <c r="J125" s="89">
        <v>6</v>
      </c>
      <c r="K125" s="72">
        <v>1</v>
      </c>
      <c r="L125" s="91" t="s">
        <v>45</v>
      </c>
      <c r="M125" s="89" t="s">
        <v>121</v>
      </c>
      <c r="N125" s="96">
        <v>6360000</v>
      </c>
      <c r="O125" s="7">
        <v>0</v>
      </c>
      <c r="P125" s="7">
        <v>0</v>
      </c>
      <c r="Q125" s="91" t="s">
        <v>47</v>
      </c>
      <c r="R125" s="91" t="s">
        <v>48</v>
      </c>
      <c r="S125" s="88" t="s">
        <v>146</v>
      </c>
      <c r="T125" s="89">
        <v>3846666</v>
      </c>
      <c r="U125" s="94" t="s">
        <v>147</v>
      </c>
      <c r="V125" s="91" t="s">
        <v>323</v>
      </c>
      <c r="W125" s="75" t="s">
        <v>86</v>
      </c>
      <c r="X125" s="99" t="s">
        <v>148</v>
      </c>
      <c r="Y125" s="91"/>
      <c r="Z125" s="91"/>
      <c r="AA125" s="258"/>
      <c r="AB125" s="8">
        <f t="shared" si="16"/>
        <v>6360000</v>
      </c>
      <c r="AC125" s="180">
        <v>1421</v>
      </c>
      <c r="AD125" s="181">
        <v>6360000</v>
      </c>
      <c r="AE125" s="181">
        <f t="shared" si="10"/>
        <v>0</v>
      </c>
      <c r="AF125" s="275" t="s">
        <v>408</v>
      </c>
      <c r="AG125" s="291" t="s">
        <v>409</v>
      </c>
      <c r="AH125" s="276">
        <f>621087+621087</f>
        <v>1242174</v>
      </c>
      <c r="AI125" s="276">
        <f t="shared" si="11"/>
        <v>5117826</v>
      </c>
      <c r="AJ125" s="275" t="s">
        <v>379</v>
      </c>
      <c r="AK125" s="275" t="s">
        <v>410</v>
      </c>
      <c r="AL125" s="184">
        <f>621087+621087</f>
        <v>1242174</v>
      </c>
      <c r="AM125" s="91"/>
    </row>
    <row r="126" spans="1:39" s="90" customFormat="1" ht="104.25" customHeight="1" x14ac:dyDescent="0.3">
      <c r="A126" s="95" t="s">
        <v>396</v>
      </c>
      <c r="B126" s="91" t="s">
        <v>65</v>
      </c>
      <c r="C126" s="140" t="s">
        <v>394</v>
      </c>
      <c r="D126" s="91" t="s">
        <v>65</v>
      </c>
      <c r="E126" s="91" t="s">
        <v>400</v>
      </c>
      <c r="F126" s="91">
        <v>93161800</v>
      </c>
      <c r="G126" s="88" t="s">
        <v>411</v>
      </c>
      <c r="H126" s="89">
        <v>3</v>
      </c>
      <c r="I126" s="89">
        <v>3</v>
      </c>
      <c r="J126" s="89">
        <v>5</v>
      </c>
      <c r="K126" s="72">
        <v>1</v>
      </c>
      <c r="L126" s="91" t="s">
        <v>45</v>
      </c>
      <c r="M126" s="89" t="s">
        <v>121</v>
      </c>
      <c r="N126" s="96">
        <f>3200000*5</f>
        <v>16000000</v>
      </c>
      <c r="O126" s="7">
        <v>0</v>
      </c>
      <c r="P126" s="7">
        <v>0</v>
      </c>
      <c r="Q126" s="91" t="s">
        <v>47</v>
      </c>
      <c r="R126" s="91" t="s">
        <v>48</v>
      </c>
      <c r="S126" s="88" t="s">
        <v>146</v>
      </c>
      <c r="T126" s="89">
        <v>3846666</v>
      </c>
      <c r="U126" s="94" t="s">
        <v>147</v>
      </c>
      <c r="V126" s="91" t="s">
        <v>323</v>
      </c>
      <c r="W126" s="75" t="s">
        <v>52</v>
      </c>
      <c r="X126" s="99" t="s">
        <v>148</v>
      </c>
      <c r="Y126" s="91"/>
      <c r="Z126" s="91"/>
      <c r="AA126" s="258"/>
      <c r="AB126" s="8">
        <f t="shared" si="16"/>
        <v>16000000</v>
      </c>
      <c r="AC126" s="248"/>
      <c r="AD126" s="249"/>
      <c r="AE126" s="249">
        <f t="shared" si="10"/>
        <v>16000000</v>
      </c>
      <c r="AF126" s="248"/>
      <c r="AG126" s="248"/>
      <c r="AH126" s="249"/>
      <c r="AI126" s="249">
        <f t="shared" si="11"/>
        <v>16000000</v>
      </c>
      <c r="AJ126" s="248"/>
      <c r="AK126" s="248"/>
      <c r="AL126" s="249"/>
      <c r="AM126" s="91"/>
    </row>
    <row r="127" spans="1:39" s="90" customFormat="1" ht="104.25" customHeight="1" x14ac:dyDescent="0.3">
      <c r="A127" s="95" t="s">
        <v>396</v>
      </c>
      <c r="B127" s="91" t="s">
        <v>65</v>
      </c>
      <c r="C127" s="140" t="s">
        <v>394</v>
      </c>
      <c r="D127" s="91" t="s">
        <v>65</v>
      </c>
      <c r="E127" s="91" t="s">
        <v>144</v>
      </c>
      <c r="F127" s="91">
        <v>80111600</v>
      </c>
      <c r="G127" s="88" t="s">
        <v>412</v>
      </c>
      <c r="H127" s="89">
        <v>1</v>
      </c>
      <c r="I127" s="89">
        <v>1</v>
      </c>
      <c r="J127" s="89">
        <v>10</v>
      </c>
      <c r="K127" s="72">
        <v>1</v>
      </c>
      <c r="L127" s="91" t="s">
        <v>45</v>
      </c>
      <c r="M127" s="89" t="s">
        <v>46</v>
      </c>
      <c r="N127" s="96">
        <f>2500000*10</f>
        <v>25000000</v>
      </c>
      <c r="O127" s="7">
        <v>0</v>
      </c>
      <c r="P127" s="7">
        <v>0</v>
      </c>
      <c r="Q127" s="91" t="s">
        <v>47</v>
      </c>
      <c r="R127" s="91" t="s">
        <v>48</v>
      </c>
      <c r="S127" s="88" t="s">
        <v>146</v>
      </c>
      <c r="T127" s="89">
        <v>3846666</v>
      </c>
      <c r="U127" s="94" t="s">
        <v>147</v>
      </c>
      <c r="V127" s="91" t="s">
        <v>323</v>
      </c>
      <c r="W127" s="75" t="s">
        <v>52</v>
      </c>
      <c r="X127" s="99" t="s">
        <v>148</v>
      </c>
      <c r="Y127" s="91"/>
      <c r="Z127" s="91"/>
      <c r="AA127" s="256">
        <v>60197</v>
      </c>
      <c r="AB127" s="8">
        <f t="shared" si="16"/>
        <v>24939803</v>
      </c>
      <c r="AC127" s="216">
        <v>3821</v>
      </c>
      <c r="AD127" s="217">
        <f>24999997-60194</f>
        <v>24939803</v>
      </c>
      <c r="AE127" s="181">
        <f t="shared" si="10"/>
        <v>0</v>
      </c>
      <c r="AF127" s="275">
        <v>4721</v>
      </c>
      <c r="AG127" s="291">
        <v>44232</v>
      </c>
      <c r="AH127" s="276">
        <v>24939803</v>
      </c>
      <c r="AI127" s="276">
        <f t="shared" si="11"/>
        <v>0</v>
      </c>
      <c r="AJ127" s="275" t="s">
        <v>413</v>
      </c>
      <c r="AK127" s="275" t="s">
        <v>414</v>
      </c>
      <c r="AL127" s="184">
        <f>1847393+2309241+2309241+2309241</f>
        <v>8775116</v>
      </c>
      <c r="AM127" s="91" t="s">
        <v>129</v>
      </c>
    </row>
    <row r="128" spans="1:39" s="90" customFormat="1" ht="104.25" customHeight="1" x14ac:dyDescent="0.3">
      <c r="A128" s="95" t="s">
        <v>396</v>
      </c>
      <c r="B128" s="91" t="s">
        <v>65</v>
      </c>
      <c r="C128" s="140" t="s">
        <v>394</v>
      </c>
      <c r="D128" s="91" t="s">
        <v>65</v>
      </c>
      <c r="E128" s="91" t="s">
        <v>144</v>
      </c>
      <c r="F128" s="91">
        <v>72103300</v>
      </c>
      <c r="G128" s="88" t="s">
        <v>415</v>
      </c>
      <c r="H128" s="89">
        <v>3</v>
      </c>
      <c r="I128" s="89">
        <v>5</v>
      </c>
      <c r="J128" s="89">
        <v>3</v>
      </c>
      <c r="K128" s="72">
        <v>1</v>
      </c>
      <c r="L128" s="91" t="s">
        <v>45</v>
      </c>
      <c r="M128" s="89" t="s">
        <v>46</v>
      </c>
      <c r="N128" s="96">
        <v>10000000</v>
      </c>
      <c r="O128" s="7">
        <v>0</v>
      </c>
      <c r="P128" s="7">
        <v>0</v>
      </c>
      <c r="Q128" s="91" t="s">
        <v>47</v>
      </c>
      <c r="R128" s="91" t="s">
        <v>48</v>
      </c>
      <c r="S128" s="88" t="s">
        <v>146</v>
      </c>
      <c r="T128" s="89">
        <v>3846666</v>
      </c>
      <c r="U128" s="94" t="s">
        <v>147</v>
      </c>
      <c r="V128" s="91" t="s">
        <v>323</v>
      </c>
      <c r="W128" s="75" t="s">
        <v>52</v>
      </c>
      <c r="X128" s="99" t="s">
        <v>148</v>
      </c>
      <c r="Y128" s="91"/>
      <c r="Z128" s="243">
        <v>2500000</v>
      </c>
      <c r="AA128" s="258"/>
      <c r="AB128" s="8">
        <f t="shared" si="16"/>
        <v>12500000</v>
      </c>
      <c r="AC128" s="180">
        <v>6021</v>
      </c>
      <c r="AD128" s="181">
        <v>12500000</v>
      </c>
      <c r="AE128" s="181">
        <f t="shared" si="10"/>
        <v>0</v>
      </c>
      <c r="AF128" s="275">
        <v>6721</v>
      </c>
      <c r="AG128" s="291">
        <v>44256</v>
      </c>
      <c r="AH128" s="276">
        <v>12500000</v>
      </c>
      <c r="AI128" s="276">
        <f t="shared" si="11"/>
        <v>0</v>
      </c>
      <c r="AJ128" s="275" t="s">
        <v>416</v>
      </c>
      <c r="AK128" s="275" t="s">
        <v>417</v>
      </c>
      <c r="AL128" s="184">
        <v>3000000</v>
      </c>
      <c r="AM128" s="91"/>
    </row>
    <row r="129" spans="1:42" s="90" customFormat="1" ht="104.25" customHeight="1" x14ac:dyDescent="0.3">
      <c r="A129" s="95" t="s">
        <v>396</v>
      </c>
      <c r="B129" s="91" t="s">
        <v>65</v>
      </c>
      <c r="C129" s="140" t="s">
        <v>394</v>
      </c>
      <c r="D129" s="91" t="s">
        <v>65</v>
      </c>
      <c r="E129" s="91" t="s">
        <v>241</v>
      </c>
      <c r="F129" s="91">
        <v>80111600</v>
      </c>
      <c r="G129" s="102" t="s">
        <v>418</v>
      </c>
      <c r="H129" s="89">
        <v>1</v>
      </c>
      <c r="I129" s="89">
        <v>1</v>
      </c>
      <c r="J129" s="89">
        <v>11</v>
      </c>
      <c r="K129" s="72">
        <v>1</v>
      </c>
      <c r="L129" s="91" t="s">
        <v>45</v>
      </c>
      <c r="M129" s="89" t="s">
        <v>121</v>
      </c>
      <c r="N129" s="103">
        <f>2500000*11</f>
        <v>27500000</v>
      </c>
      <c r="O129" s="7">
        <v>0</v>
      </c>
      <c r="P129" s="7">
        <v>0</v>
      </c>
      <c r="Q129" s="91" t="s">
        <v>47</v>
      </c>
      <c r="R129" s="91" t="s">
        <v>48</v>
      </c>
      <c r="S129" s="88" t="s">
        <v>146</v>
      </c>
      <c r="T129" s="89">
        <v>3846666</v>
      </c>
      <c r="U129" s="94" t="s">
        <v>147</v>
      </c>
      <c r="V129" s="91" t="s">
        <v>323</v>
      </c>
      <c r="W129" s="75" t="s">
        <v>73</v>
      </c>
      <c r="X129" s="96" t="s">
        <v>243</v>
      </c>
      <c r="Y129" s="91"/>
      <c r="Z129" s="91"/>
      <c r="AA129" s="258"/>
      <c r="AB129" s="8">
        <f t="shared" si="16"/>
        <v>27500000</v>
      </c>
      <c r="AC129" s="180">
        <v>1921</v>
      </c>
      <c r="AD129" s="181">
        <v>27500000</v>
      </c>
      <c r="AE129" s="181">
        <f t="shared" si="10"/>
        <v>0</v>
      </c>
      <c r="AF129" s="275">
        <v>1721</v>
      </c>
      <c r="AG129" s="291">
        <v>44221</v>
      </c>
      <c r="AH129" s="276">
        <v>27500000</v>
      </c>
      <c r="AI129" s="276">
        <f t="shared" si="11"/>
        <v>0</v>
      </c>
      <c r="AJ129" s="275" t="s">
        <v>419</v>
      </c>
      <c r="AK129" s="275" t="s">
        <v>420</v>
      </c>
      <c r="AL129" s="184">
        <f>500000+2500000+2500000+2500000+2500000</f>
        <v>10500000</v>
      </c>
      <c r="AM129" s="91"/>
    </row>
    <row r="130" spans="1:42" s="90" customFormat="1" ht="104.25" customHeight="1" x14ac:dyDescent="0.3">
      <c r="A130" s="95" t="s">
        <v>421</v>
      </c>
      <c r="B130" s="91" t="s">
        <v>65</v>
      </c>
      <c r="C130" s="140" t="s">
        <v>394</v>
      </c>
      <c r="D130" s="91" t="s">
        <v>65</v>
      </c>
      <c r="E130" s="91" t="s">
        <v>47</v>
      </c>
      <c r="F130" s="91">
        <v>80111600</v>
      </c>
      <c r="G130" s="88" t="s">
        <v>422</v>
      </c>
      <c r="H130" s="89">
        <v>1</v>
      </c>
      <c r="I130" s="89">
        <v>1</v>
      </c>
      <c r="J130" s="89">
        <v>11</v>
      </c>
      <c r="K130" s="72">
        <v>1</v>
      </c>
      <c r="L130" s="91" t="s">
        <v>45</v>
      </c>
      <c r="M130" s="89" t="s">
        <v>46</v>
      </c>
      <c r="N130" s="96">
        <f>3732548*11</f>
        <v>41058028</v>
      </c>
      <c r="O130" s="7">
        <v>0</v>
      </c>
      <c r="P130" s="7">
        <v>0</v>
      </c>
      <c r="Q130" s="91" t="s">
        <v>47</v>
      </c>
      <c r="R130" s="91" t="s">
        <v>48</v>
      </c>
      <c r="S130" s="88" t="s">
        <v>264</v>
      </c>
      <c r="T130" s="88">
        <v>3846666</v>
      </c>
      <c r="U130" s="109" t="s">
        <v>265</v>
      </c>
      <c r="V130" s="91" t="s">
        <v>323</v>
      </c>
      <c r="W130" s="75" t="s">
        <v>52</v>
      </c>
      <c r="X130" s="88" t="s">
        <v>264</v>
      </c>
      <c r="Y130" s="91"/>
      <c r="Z130" s="91"/>
      <c r="AA130" s="258"/>
      <c r="AB130" s="8">
        <f t="shared" si="16"/>
        <v>41058028</v>
      </c>
      <c r="AC130" s="180">
        <v>1021</v>
      </c>
      <c r="AD130" s="181">
        <v>41058028</v>
      </c>
      <c r="AE130" s="181">
        <f t="shared" si="10"/>
        <v>0</v>
      </c>
      <c r="AF130" s="275">
        <v>621</v>
      </c>
      <c r="AG130" s="291">
        <v>44215</v>
      </c>
      <c r="AH130" s="276">
        <v>41058028</v>
      </c>
      <c r="AI130" s="276">
        <f t="shared" si="11"/>
        <v>0</v>
      </c>
      <c r="AJ130" s="275" t="s">
        <v>423</v>
      </c>
      <c r="AK130" s="275" t="s">
        <v>424</v>
      </c>
      <c r="AL130" s="184">
        <f>3732548+1368601+3732548+3732548+3732548</f>
        <v>16298793</v>
      </c>
      <c r="AM130" s="91"/>
    </row>
    <row r="131" spans="1:42" s="90" customFormat="1" ht="104.25" customHeight="1" x14ac:dyDescent="0.3">
      <c r="A131" s="104" t="s">
        <v>396</v>
      </c>
      <c r="B131" s="91" t="s">
        <v>65</v>
      </c>
      <c r="C131" s="140" t="s">
        <v>394</v>
      </c>
      <c r="D131" s="91" t="s">
        <v>65</v>
      </c>
      <c r="E131" s="91" t="s">
        <v>259</v>
      </c>
      <c r="F131" s="91">
        <v>80111600</v>
      </c>
      <c r="G131" s="88" t="s">
        <v>425</v>
      </c>
      <c r="H131" s="89">
        <v>1</v>
      </c>
      <c r="I131" s="89">
        <v>1</v>
      </c>
      <c r="J131" s="89">
        <v>11</v>
      </c>
      <c r="K131" s="72">
        <v>1</v>
      </c>
      <c r="L131" s="91" t="s">
        <v>45</v>
      </c>
      <c r="M131" s="89" t="s">
        <v>46</v>
      </c>
      <c r="N131" s="96">
        <f>3420560*11</f>
        <v>37626160</v>
      </c>
      <c r="O131" s="7">
        <v>0</v>
      </c>
      <c r="P131" s="7">
        <v>0</v>
      </c>
      <c r="Q131" s="91" t="s">
        <v>47</v>
      </c>
      <c r="R131" s="91" t="s">
        <v>48</v>
      </c>
      <c r="S131" s="88" t="s">
        <v>426</v>
      </c>
      <c r="T131" s="88">
        <v>3846666</v>
      </c>
      <c r="U131" s="94" t="s">
        <v>261</v>
      </c>
      <c r="V131" s="91" t="s">
        <v>323</v>
      </c>
      <c r="W131" s="75" t="s">
        <v>52</v>
      </c>
      <c r="X131" s="88" t="s">
        <v>426</v>
      </c>
      <c r="Y131" s="91"/>
      <c r="Z131" s="91"/>
      <c r="AA131" s="258"/>
      <c r="AB131" s="8">
        <f t="shared" si="16"/>
        <v>37626160</v>
      </c>
      <c r="AC131" s="180">
        <v>2421</v>
      </c>
      <c r="AD131" s="181">
        <v>37626160</v>
      </c>
      <c r="AE131" s="181">
        <f>+AB131-AD131</f>
        <v>0</v>
      </c>
      <c r="AF131" s="275">
        <v>3121</v>
      </c>
      <c r="AG131" s="291">
        <v>44225</v>
      </c>
      <c r="AH131" s="276">
        <v>37626160</v>
      </c>
      <c r="AI131" s="276">
        <f t="shared" si="11"/>
        <v>0</v>
      </c>
      <c r="AJ131" s="275" t="s">
        <v>427</v>
      </c>
      <c r="AK131" s="275" t="s">
        <v>428</v>
      </c>
      <c r="AL131" s="184">
        <f>3420560+3420560+3420560+3420560</f>
        <v>13682240</v>
      </c>
      <c r="AM131" s="91"/>
    </row>
    <row r="132" spans="1:42" s="90" customFormat="1" ht="84.75" customHeight="1" x14ac:dyDescent="0.3">
      <c r="A132" s="95" t="s">
        <v>429</v>
      </c>
      <c r="B132" s="91" t="s">
        <v>65</v>
      </c>
      <c r="C132" s="140" t="s">
        <v>394</v>
      </c>
      <c r="D132" s="91" t="s">
        <v>65</v>
      </c>
      <c r="E132" s="91" t="s">
        <v>144</v>
      </c>
      <c r="F132" s="91">
        <v>83111500</v>
      </c>
      <c r="G132" s="88" t="s">
        <v>430</v>
      </c>
      <c r="H132" s="89" t="s">
        <v>65</v>
      </c>
      <c r="I132" s="89" t="s">
        <v>65</v>
      </c>
      <c r="J132" s="89" t="s">
        <v>65</v>
      </c>
      <c r="K132" s="89" t="s">
        <v>65</v>
      </c>
      <c r="L132" s="91" t="s">
        <v>67</v>
      </c>
      <c r="M132" s="89" t="s">
        <v>121</v>
      </c>
      <c r="N132" s="96">
        <v>17160000</v>
      </c>
      <c r="O132" s="7">
        <v>0</v>
      </c>
      <c r="P132" s="7">
        <v>0</v>
      </c>
      <c r="Q132" s="91" t="s">
        <v>47</v>
      </c>
      <c r="R132" s="91" t="s">
        <v>48</v>
      </c>
      <c r="S132" s="88" t="s">
        <v>146</v>
      </c>
      <c r="T132" s="89">
        <v>3846666</v>
      </c>
      <c r="U132" s="94" t="s">
        <v>147</v>
      </c>
      <c r="V132" s="91" t="s">
        <v>323</v>
      </c>
      <c r="W132" s="75" t="s">
        <v>86</v>
      </c>
      <c r="X132" s="88" t="s">
        <v>148</v>
      </c>
      <c r="Y132" s="91"/>
      <c r="Z132" s="91"/>
      <c r="AA132" s="258"/>
      <c r="AB132" s="8">
        <f t="shared" si="16"/>
        <v>17160000</v>
      </c>
      <c r="AC132" s="180" t="s">
        <v>431</v>
      </c>
      <c r="AD132" s="181">
        <f>413180+833000+437800+833000+413180+833000+413180+833000+413180+833000+413180+833000</f>
        <v>7501700</v>
      </c>
      <c r="AE132" s="181">
        <f t="shared" si="10"/>
        <v>9658300</v>
      </c>
      <c r="AF132" s="275" t="s">
        <v>432</v>
      </c>
      <c r="AG132" s="291" t="s">
        <v>433</v>
      </c>
      <c r="AH132" s="276">
        <f>413180+833000+437800+833000+413180+833000+413180+833000+413180+833000+413180+833000</f>
        <v>7501700</v>
      </c>
      <c r="AI132" s="276">
        <f t="shared" si="11"/>
        <v>9658300</v>
      </c>
      <c r="AJ132" s="275" t="s">
        <v>379</v>
      </c>
      <c r="AK132" s="275" t="s">
        <v>434</v>
      </c>
      <c r="AL132" s="184">
        <f>413180+833000+437800+833000+413180+833000+413180+833000+413180+833000+413180+833000</f>
        <v>7501700</v>
      </c>
      <c r="AM132" s="91"/>
    </row>
    <row r="133" spans="1:42" s="90" customFormat="1" ht="104.25" customHeight="1" x14ac:dyDescent="0.3">
      <c r="A133" s="95" t="s">
        <v>429</v>
      </c>
      <c r="B133" s="91" t="s">
        <v>65</v>
      </c>
      <c r="C133" s="140" t="s">
        <v>394</v>
      </c>
      <c r="D133" s="91" t="s">
        <v>65</v>
      </c>
      <c r="E133" s="91" t="s">
        <v>271</v>
      </c>
      <c r="F133" s="91">
        <v>81112100</v>
      </c>
      <c r="G133" s="88" t="s">
        <v>435</v>
      </c>
      <c r="H133" s="89">
        <v>5</v>
      </c>
      <c r="I133" s="89">
        <v>5</v>
      </c>
      <c r="J133" s="89">
        <v>7</v>
      </c>
      <c r="K133" s="72">
        <v>1</v>
      </c>
      <c r="L133" s="7" t="s">
        <v>189</v>
      </c>
      <c r="M133" s="89" t="s">
        <v>46</v>
      </c>
      <c r="N133" s="96">
        <f>5200000-1881472</f>
        <v>3318528</v>
      </c>
      <c r="O133" s="7">
        <v>0</v>
      </c>
      <c r="P133" s="7">
        <v>0</v>
      </c>
      <c r="Q133" s="91" t="s">
        <v>47</v>
      </c>
      <c r="R133" s="91" t="s">
        <v>48</v>
      </c>
      <c r="S133" s="88" t="s">
        <v>257</v>
      </c>
      <c r="T133" s="89">
        <v>3846666</v>
      </c>
      <c r="U133" s="94" t="s">
        <v>258</v>
      </c>
      <c r="V133" s="91" t="s">
        <v>323</v>
      </c>
      <c r="W133" s="75" t="s">
        <v>86</v>
      </c>
      <c r="X133" s="88" t="s">
        <v>296</v>
      </c>
      <c r="Y133" s="91"/>
      <c r="Z133" s="91"/>
      <c r="AA133" s="258"/>
      <c r="AB133" s="8">
        <f t="shared" si="16"/>
        <v>3318528</v>
      </c>
      <c r="AC133" s="180">
        <v>9121</v>
      </c>
      <c r="AD133" s="181">
        <v>3136837.5</v>
      </c>
      <c r="AE133" s="181">
        <f t="shared" si="10"/>
        <v>181690.5</v>
      </c>
      <c r="AF133" s="275">
        <v>10721</v>
      </c>
      <c r="AG133" s="291">
        <v>44323</v>
      </c>
      <c r="AH133" s="276">
        <v>3136837.5</v>
      </c>
      <c r="AI133" s="276">
        <f t="shared" si="11"/>
        <v>181690.5</v>
      </c>
      <c r="AJ133" s="275" t="s">
        <v>436</v>
      </c>
      <c r="AK133" s="275" t="s">
        <v>290</v>
      </c>
      <c r="AL133" s="249"/>
      <c r="AM133" s="91"/>
    </row>
    <row r="134" spans="1:42" s="90" customFormat="1" ht="104.25" customHeight="1" x14ac:dyDescent="0.3">
      <c r="A134" s="95" t="s">
        <v>429</v>
      </c>
      <c r="B134" s="91" t="s">
        <v>65</v>
      </c>
      <c r="C134" s="140" t="s">
        <v>394</v>
      </c>
      <c r="D134" s="91" t="s">
        <v>65</v>
      </c>
      <c r="E134" s="91" t="s">
        <v>271</v>
      </c>
      <c r="F134" s="91">
        <v>81112100</v>
      </c>
      <c r="G134" s="88" t="s">
        <v>437</v>
      </c>
      <c r="H134" s="89">
        <v>1</v>
      </c>
      <c r="I134" s="89">
        <v>1</v>
      </c>
      <c r="J134" s="89" t="s">
        <v>438</v>
      </c>
      <c r="K134" s="7">
        <v>0</v>
      </c>
      <c r="L134" s="7" t="s">
        <v>189</v>
      </c>
      <c r="M134" s="89" t="s">
        <v>46</v>
      </c>
      <c r="N134" s="96">
        <v>1881472</v>
      </c>
      <c r="O134" s="91">
        <v>1</v>
      </c>
      <c r="P134" s="91">
        <v>3</v>
      </c>
      <c r="Q134" s="91" t="s">
        <v>47</v>
      </c>
      <c r="R134" s="91" t="s">
        <v>48</v>
      </c>
      <c r="S134" s="88" t="s">
        <v>257</v>
      </c>
      <c r="T134" s="89">
        <v>3846666</v>
      </c>
      <c r="U134" s="94" t="s">
        <v>258</v>
      </c>
      <c r="V134" s="91" t="s">
        <v>323</v>
      </c>
      <c r="W134" s="75" t="s">
        <v>86</v>
      </c>
      <c r="X134" s="88" t="s">
        <v>296</v>
      </c>
      <c r="Y134" s="91"/>
      <c r="Z134" s="91"/>
      <c r="AA134" s="258"/>
      <c r="AB134" s="8">
        <f t="shared" ref="AB134" si="17">+N134+Y134+Z134-AA134</f>
        <v>1881472</v>
      </c>
      <c r="AC134" s="180">
        <v>221</v>
      </c>
      <c r="AD134" s="181">
        <v>1881472</v>
      </c>
      <c r="AE134" s="181">
        <f t="shared" si="10"/>
        <v>0</v>
      </c>
      <c r="AF134" s="275">
        <v>221</v>
      </c>
      <c r="AG134" s="291">
        <v>44211</v>
      </c>
      <c r="AH134" s="276">
        <v>1881472</v>
      </c>
      <c r="AI134" s="276">
        <f t="shared" si="11"/>
        <v>0</v>
      </c>
      <c r="AJ134" s="275" t="s">
        <v>439</v>
      </c>
      <c r="AK134" s="275" t="s">
        <v>290</v>
      </c>
      <c r="AL134" s="184">
        <f>418105+418105+418105+418105</f>
        <v>1672420</v>
      </c>
      <c r="AM134" s="91"/>
      <c r="AN134" s="273">
        <f>AH134-AL134</f>
        <v>209052</v>
      </c>
      <c r="AO134" s="90">
        <v>418105</v>
      </c>
      <c r="AP134" s="273">
        <f>AN134-AO134</f>
        <v>-209053</v>
      </c>
    </row>
    <row r="135" spans="1:42" s="90" customFormat="1" ht="104.25" customHeight="1" x14ac:dyDescent="0.3">
      <c r="A135" s="95" t="s">
        <v>440</v>
      </c>
      <c r="B135" s="91" t="s">
        <v>65</v>
      </c>
      <c r="C135" s="140" t="s">
        <v>394</v>
      </c>
      <c r="D135" s="91" t="s">
        <v>65</v>
      </c>
      <c r="E135" s="91" t="s">
        <v>144</v>
      </c>
      <c r="F135" s="91">
        <v>92101501</v>
      </c>
      <c r="G135" s="88" t="s">
        <v>441</v>
      </c>
      <c r="H135" s="89">
        <v>2</v>
      </c>
      <c r="I135" s="89">
        <v>4</v>
      </c>
      <c r="J135" s="89">
        <v>8</v>
      </c>
      <c r="K135" s="72">
        <v>1</v>
      </c>
      <c r="L135" s="91" t="s">
        <v>442</v>
      </c>
      <c r="M135" s="89" t="s">
        <v>121</v>
      </c>
      <c r="N135" s="96">
        <v>85018841</v>
      </c>
      <c r="O135" s="7">
        <v>0</v>
      </c>
      <c r="P135" s="7">
        <v>0</v>
      </c>
      <c r="Q135" s="91" t="s">
        <v>47</v>
      </c>
      <c r="R135" s="91" t="s">
        <v>48</v>
      </c>
      <c r="S135" s="88" t="s">
        <v>146</v>
      </c>
      <c r="T135" s="89">
        <v>3846666</v>
      </c>
      <c r="U135" s="94" t="s">
        <v>147</v>
      </c>
      <c r="V135" s="91" t="s">
        <v>323</v>
      </c>
      <c r="W135" s="75" t="s">
        <v>86</v>
      </c>
      <c r="X135" s="88" t="s">
        <v>148</v>
      </c>
      <c r="Y135" s="91"/>
      <c r="Z135" s="91"/>
      <c r="AA135" s="256">
        <v>155820</v>
      </c>
      <c r="AB135" s="8">
        <f t="shared" si="16"/>
        <v>84863021</v>
      </c>
      <c r="AC135" s="180">
        <v>7121</v>
      </c>
      <c r="AD135" s="181">
        <f>84863021-8978100.12</f>
        <v>75884920.879999995</v>
      </c>
      <c r="AE135" s="181">
        <f t="shared" si="10"/>
        <v>8978100.1200000048</v>
      </c>
      <c r="AF135" s="275">
        <v>10221</v>
      </c>
      <c r="AG135" s="291">
        <v>44315</v>
      </c>
      <c r="AH135" s="276">
        <v>75884920.879999995</v>
      </c>
      <c r="AI135" s="276">
        <f t="shared" si="11"/>
        <v>8978100.1200000048</v>
      </c>
      <c r="AJ135" s="275" t="s">
        <v>443</v>
      </c>
      <c r="AK135" s="275" t="s">
        <v>444</v>
      </c>
      <c r="AL135" s="184">
        <v>9485614</v>
      </c>
      <c r="AM135" s="91" t="s">
        <v>129</v>
      </c>
    </row>
    <row r="136" spans="1:42" s="90" customFormat="1" ht="104.25" customHeight="1" x14ac:dyDescent="0.3">
      <c r="A136" s="95" t="s">
        <v>440</v>
      </c>
      <c r="B136" s="91" t="s">
        <v>65</v>
      </c>
      <c r="C136" s="140" t="s">
        <v>394</v>
      </c>
      <c r="D136" s="91" t="s">
        <v>65</v>
      </c>
      <c r="E136" s="91" t="s">
        <v>144</v>
      </c>
      <c r="F136" s="91">
        <v>92101501</v>
      </c>
      <c r="G136" s="88" t="s">
        <v>445</v>
      </c>
      <c r="H136" s="89">
        <v>1</v>
      </c>
      <c r="I136" s="89">
        <v>1</v>
      </c>
      <c r="J136" s="89">
        <v>4</v>
      </c>
      <c r="K136" s="72">
        <v>1</v>
      </c>
      <c r="L136" s="91" t="s">
        <v>442</v>
      </c>
      <c r="M136" s="89" t="s">
        <v>46</v>
      </c>
      <c r="N136" s="96">
        <v>38249044</v>
      </c>
      <c r="O136" s="91">
        <v>1</v>
      </c>
      <c r="P136" s="91">
        <v>3</v>
      </c>
      <c r="Q136" s="91" t="s">
        <v>47</v>
      </c>
      <c r="R136" s="91" t="s">
        <v>48</v>
      </c>
      <c r="S136" s="88" t="s">
        <v>146</v>
      </c>
      <c r="T136" s="89">
        <v>3846666</v>
      </c>
      <c r="U136" s="94" t="s">
        <v>147</v>
      </c>
      <c r="V136" s="91" t="s">
        <v>323</v>
      </c>
      <c r="W136" s="75" t="s">
        <v>86</v>
      </c>
      <c r="X136" s="88" t="s">
        <v>148</v>
      </c>
      <c r="Y136" s="91"/>
      <c r="Z136" s="91"/>
      <c r="AA136" s="258"/>
      <c r="AB136" s="8">
        <f t="shared" si="16"/>
        <v>38249044</v>
      </c>
      <c r="AC136" s="180">
        <v>321</v>
      </c>
      <c r="AD136" s="181">
        <v>38249044</v>
      </c>
      <c r="AE136" s="181">
        <f t="shared" si="10"/>
        <v>0</v>
      </c>
      <c r="AF136" s="275">
        <v>321</v>
      </c>
      <c r="AG136" s="291">
        <v>44211</v>
      </c>
      <c r="AH136" s="276">
        <v>38249044</v>
      </c>
      <c r="AI136" s="276">
        <f t="shared" si="11"/>
        <v>0</v>
      </c>
      <c r="AJ136" s="275" t="s">
        <v>446</v>
      </c>
      <c r="AK136" s="275" t="s">
        <v>447</v>
      </c>
      <c r="AL136" s="184">
        <f>9318411+9318411+9318411+9318411</f>
        <v>37273644</v>
      </c>
      <c r="AM136" s="91"/>
    </row>
    <row r="137" spans="1:42" s="90" customFormat="1" ht="37.5" customHeight="1" x14ac:dyDescent="0.3">
      <c r="A137" s="95" t="s">
        <v>440</v>
      </c>
      <c r="B137" s="91" t="s">
        <v>65</v>
      </c>
      <c r="C137" s="140" t="s">
        <v>394</v>
      </c>
      <c r="D137" s="91" t="s">
        <v>65</v>
      </c>
      <c r="E137" s="91" t="s">
        <v>144</v>
      </c>
      <c r="F137" s="91">
        <v>76111501</v>
      </c>
      <c r="G137" s="247" t="s">
        <v>448</v>
      </c>
      <c r="H137" s="89">
        <v>2</v>
      </c>
      <c r="I137" s="89">
        <v>3</v>
      </c>
      <c r="J137" s="89">
        <v>9</v>
      </c>
      <c r="K137" s="72">
        <v>1</v>
      </c>
      <c r="L137" s="91" t="s">
        <v>442</v>
      </c>
      <c r="M137" s="89" t="s">
        <v>121</v>
      </c>
      <c r="N137" s="96">
        <v>28761365</v>
      </c>
      <c r="O137" s="7">
        <v>0</v>
      </c>
      <c r="P137" s="7">
        <v>0</v>
      </c>
      <c r="Q137" s="91" t="s">
        <v>47</v>
      </c>
      <c r="R137" s="91" t="s">
        <v>48</v>
      </c>
      <c r="S137" s="88" t="s">
        <v>146</v>
      </c>
      <c r="T137" s="89">
        <v>3846666</v>
      </c>
      <c r="U137" s="94" t="s">
        <v>147</v>
      </c>
      <c r="V137" s="91" t="s">
        <v>323</v>
      </c>
      <c r="W137" s="75" t="s">
        <v>86</v>
      </c>
      <c r="X137" s="88" t="s">
        <v>148</v>
      </c>
      <c r="Y137" s="91"/>
      <c r="Z137" s="245">
        <v>2313392.41</v>
      </c>
      <c r="AA137" s="258"/>
      <c r="AB137" s="8">
        <f t="shared" si="16"/>
        <v>31074757.41</v>
      </c>
      <c r="AC137" s="180">
        <v>7621</v>
      </c>
      <c r="AD137" s="181">
        <v>31074757.41</v>
      </c>
      <c r="AE137" s="181">
        <f t="shared" ref="AE137:AE164" si="18">+AB137-AD137</f>
        <v>0</v>
      </c>
      <c r="AF137" s="295">
        <v>8321</v>
      </c>
      <c r="AG137" s="291">
        <v>44281</v>
      </c>
      <c r="AH137" s="276">
        <v>31074757.41</v>
      </c>
      <c r="AI137" s="276">
        <f t="shared" ref="AI137:AI164" si="19">+AB137-AH137</f>
        <v>0</v>
      </c>
      <c r="AJ137" s="275" t="s">
        <v>327</v>
      </c>
      <c r="AK137" s="275" t="s">
        <v>328</v>
      </c>
      <c r="AL137" s="184">
        <f>2991733.93+3510377.93</f>
        <v>6502111.8600000003</v>
      </c>
      <c r="AM137" s="91" t="s">
        <v>129</v>
      </c>
    </row>
    <row r="138" spans="1:42" s="90" customFormat="1" ht="37.5" customHeight="1" x14ac:dyDescent="0.3">
      <c r="A138" s="95" t="s">
        <v>440</v>
      </c>
      <c r="B138" s="91" t="s">
        <v>65</v>
      </c>
      <c r="C138" s="140" t="s">
        <v>394</v>
      </c>
      <c r="D138" s="91" t="s">
        <v>65</v>
      </c>
      <c r="E138" s="91" t="s">
        <v>144</v>
      </c>
      <c r="F138" s="91">
        <v>76111501</v>
      </c>
      <c r="G138" s="247" t="s">
        <v>449</v>
      </c>
      <c r="H138" s="89">
        <v>1</v>
      </c>
      <c r="I138" s="89">
        <v>1</v>
      </c>
      <c r="J138" s="89">
        <v>3</v>
      </c>
      <c r="K138" s="72">
        <v>1</v>
      </c>
      <c r="L138" s="91" t="s">
        <v>442</v>
      </c>
      <c r="M138" s="89" t="s">
        <v>46</v>
      </c>
      <c r="N138" s="96">
        <f>11827756-523599</f>
        <v>11304157</v>
      </c>
      <c r="O138" s="91">
        <v>1</v>
      </c>
      <c r="P138" s="91">
        <v>3</v>
      </c>
      <c r="Q138" s="91" t="s">
        <v>47</v>
      </c>
      <c r="R138" s="91" t="s">
        <v>48</v>
      </c>
      <c r="S138" s="88" t="s">
        <v>146</v>
      </c>
      <c r="T138" s="89">
        <v>3846666</v>
      </c>
      <c r="U138" s="94" t="s">
        <v>147</v>
      </c>
      <c r="V138" s="91" t="s">
        <v>323</v>
      </c>
      <c r="W138" s="75" t="s">
        <v>86</v>
      </c>
      <c r="X138" s="88" t="s">
        <v>148</v>
      </c>
      <c r="Y138" s="91"/>
      <c r="Z138" s="91"/>
      <c r="AA138" s="258"/>
      <c r="AB138" s="8">
        <f t="shared" si="16"/>
        <v>11304157</v>
      </c>
      <c r="AC138" s="180" t="s">
        <v>450</v>
      </c>
      <c r="AD138" s="181">
        <f>10785513+518644</f>
        <v>11304157</v>
      </c>
      <c r="AE138" s="181">
        <f t="shared" si="18"/>
        <v>0</v>
      </c>
      <c r="AF138" s="275" t="s">
        <v>451</v>
      </c>
      <c r="AG138" s="291" t="s">
        <v>452</v>
      </c>
      <c r="AH138" s="276">
        <f>10785513+518644</f>
        <v>11304157</v>
      </c>
      <c r="AI138" s="276">
        <f t="shared" si="19"/>
        <v>0</v>
      </c>
      <c r="AJ138" s="275" t="s">
        <v>453</v>
      </c>
      <c r="AK138" s="275" t="s">
        <v>454</v>
      </c>
      <c r="AL138" s="184">
        <f>81083.19+3510378.9+3510378.9+3510378.9+518644</f>
        <v>11130863.890000001</v>
      </c>
      <c r="AM138" s="91"/>
    </row>
    <row r="139" spans="1:42" s="90" customFormat="1" ht="37.5" customHeight="1" x14ac:dyDescent="0.3">
      <c r="A139" s="95" t="s">
        <v>440</v>
      </c>
      <c r="B139" s="91" t="s">
        <v>65</v>
      </c>
      <c r="C139" s="140" t="s">
        <v>394</v>
      </c>
      <c r="D139" s="91" t="s">
        <v>65</v>
      </c>
      <c r="E139" s="91" t="s">
        <v>144</v>
      </c>
      <c r="F139" s="91">
        <v>47121600</v>
      </c>
      <c r="G139" s="247" t="s">
        <v>455</v>
      </c>
      <c r="H139" s="89">
        <v>2</v>
      </c>
      <c r="I139" s="89">
        <v>3</v>
      </c>
      <c r="J139" s="89">
        <v>9</v>
      </c>
      <c r="K139" s="72">
        <v>1</v>
      </c>
      <c r="L139" s="7" t="s">
        <v>189</v>
      </c>
      <c r="M139" s="89" t="s">
        <v>46</v>
      </c>
      <c r="N139" s="96">
        <v>1990497</v>
      </c>
      <c r="O139" s="7">
        <v>0</v>
      </c>
      <c r="P139" s="7">
        <v>0</v>
      </c>
      <c r="Q139" s="91" t="s">
        <v>47</v>
      </c>
      <c r="R139" s="91" t="s">
        <v>48</v>
      </c>
      <c r="S139" s="88" t="s">
        <v>146</v>
      </c>
      <c r="T139" s="89">
        <v>3846666</v>
      </c>
      <c r="U139" s="94" t="s">
        <v>147</v>
      </c>
      <c r="V139" s="91" t="s">
        <v>323</v>
      </c>
      <c r="W139" s="75" t="s">
        <v>86</v>
      </c>
      <c r="X139" s="88" t="s">
        <v>148</v>
      </c>
      <c r="Y139" s="91"/>
      <c r="Z139" s="91"/>
      <c r="AA139" s="258"/>
      <c r="AB139" s="8">
        <f t="shared" si="16"/>
        <v>1990497</v>
      </c>
      <c r="AC139" s="180">
        <v>7621</v>
      </c>
      <c r="AD139" s="181">
        <v>1990497</v>
      </c>
      <c r="AE139" s="181">
        <f t="shared" si="18"/>
        <v>0</v>
      </c>
      <c r="AF139" s="295">
        <v>8321</v>
      </c>
      <c r="AG139" s="291">
        <v>44281</v>
      </c>
      <c r="AH139" s="276">
        <v>1990497</v>
      </c>
      <c r="AI139" s="276">
        <f t="shared" si="19"/>
        <v>0</v>
      </c>
      <c r="AJ139" s="275" t="s">
        <v>327</v>
      </c>
      <c r="AK139" s="275" t="s">
        <v>328</v>
      </c>
      <c r="AL139" s="184">
        <f>206578.75+222610.57</f>
        <v>429189.32</v>
      </c>
      <c r="AM139" s="91"/>
    </row>
    <row r="140" spans="1:42" s="90" customFormat="1" ht="45" customHeight="1" x14ac:dyDescent="0.3">
      <c r="A140" s="95" t="s">
        <v>440</v>
      </c>
      <c r="B140" s="91" t="s">
        <v>65</v>
      </c>
      <c r="C140" s="140" t="s">
        <v>394</v>
      </c>
      <c r="D140" s="91" t="s">
        <v>65</v>
      </c>
      <c r="E140" s="91" t="s">
        <v>144</v>
      </c>
      <c r="F140" s="91">
        <v>47121600</v>
      </c>
      <c r="G140" s="88" t="s">
        <v>456</v>
      </c>
      <c r="H140" s="89">
        <v>1</v>
      </c>
      <c r="I140" s="89">
        <v>1</v>
      </c>
      <c r="J140" s="89">
        <v>3</v>
      </c>
      <c r="K140" s="72">
        <v>1</v>
      </c>
      <c r="L140" s="7" t="s">
        <v>189</v>
      </c>
      <c r="M140" s="89" t="s">
        <v>46</v>
      </c>
      <c r="N140" s="96">
        <v>746435</v>
      </c>
      <c r="O140" s="91">
        <v>1</v>
      </c>
      <c r="P140" s="91">
        <v>3</v>
      </c>
      <c r="Q140" s="91" t="s">
        <v>47</v>
      </c>
      <c r="R140" s="91" t="s">
        <v>48</v>
      </c>
      <c r="S140" s="88" t="s">
        <v>146</v>
      </c>
      <c r="T140" s="89">
        <v>3846666</v>
      </c>
      <c r="U140" s="94" t="s">
        <v>147</v>
      </c>
      <c r="V140" s="91" t="s">
        <v>323</v>
      </c>
      <c r="W140" s="75" t="s">
        <v>86</v>
      </c>
      <c r="X140" s="88" t="s">
        <v>148</v>
      </c>
      <c r="Y140" s="91"/>
      <c r="Z140" s="91"/>
      <c r="AA140" s="258"/>
      <c r="AB140" s="8">
        <f t="shared" si="16"/>
        <v>746435</v>
      </c>
      <c r="AC140" s="180">
        <v>1121</v>
      </c>
      <c r="AD140" s="181">
        <v>746435</v>
      </c>
      <c r="AE140" s="181">
        <f t="shared" si="18"/>
        <v>0</v>
      </c>
      <c r="AF140" s="275">
        <v>521</v>
      </c>
      <c r="AG140" s="291">
        <v>44214</v>
      </c>
      <c r="AH140" s="276">
        <v>746435</v>
      </c>
      <c r="AI140" s="276">
        <f t="shared" si="19"/>
        <v>0</v>
      </c>
      <c r="AJ140" s="275" t="s">
        <v>457</v>
      </c>
      <c r="AK140" s="275" t="s">
        <v>458</v>
      </c>
      <c r="AL140" s="184">
        <f>238507.4+238507.4+238507.4</f>
        <v>715522.2</v>
      </c>
      <c r="AM140" s="91"/>
    </row>
    <row r="141" spans="1:42" s="90" customFormat="1" ht="37.5" customHeight="1" x14ac:dyDescent="0.3">
      <c r="A141" s="95" t="s">
        <v>440</v>
      </c>
      <c r="B141" s="91" t="s">
        <v>65</v>
      </c>
      <c r="C141" s="140" t="s">
        <v>394</v>
      </c>
      <c r="D141" s="91" t="s">
        <v>65</v>
      </c>
      <c r="E141" s="91" t="s">
        <v>144</v>
      </c>
      <c r="F141" s="91">
        <v>47121600</v>
      </c>
      <c r="G141" s="247" t="s">
        <v>455</v>
      </c>
      <c r="H141" s="89">
        <v>2</v>
      </c>
      <c r="I141" s="89">
        <v>3</v>
      </c>
      <c r="J141" s="89">
        <v>9</v>
      </c>
      <c r="K141" s="72">
        <v>1</v>
      </c>
      <c r="L141" s="7" t="s">
        <v>189</v>
      </c>
      <c r="M141" s="89" t="s">
        <v>121</v>
      </c>
      <c r="N141" s="96">
        <v>0</v>
      </c>
      <c r="O141" s="91">
        <v>0</v>
      </c>
      <c r="P141" s="91">
        <v>0</v>
      </c>
      <c r="Q141" s="91" t="s">
        <v>47</v>
      </c>
      <c r="R141" s="91" t="s">
        <v>48</v>
      </c>
      <c r="S141" s="88" t="s">
        <v>146</v>
      </c>
      <c r="T141" s="89">
        <v>3846666</v>
      </c>
      <c r="U141" s="94" t="s">
        <v>147</v>
      </c>
      <c r="V141" s="91" t="s">
        <v>323</v>
      </c>
      <c r="W141" s="75" t="s">
        <v>86</v>
      </c>
      <c r="X141" s="88" t="s">
        <v>148</v>
      </c>
      <c r="Y141" s="245">
        <v>12998.1</v>
      </c>
      <c r="Z141" s="91"/>
      <c r="AA141" s="258"/>
      <c r="AB141" s="8">
        <f t="shared" si="16"/>
        <v>12998.1</v>
      </c>
      <c r="AC141" s="180">
        <v>7621</v>
      </c>
      <c r="AD141" s="181">
        <v>12998.1</v>
      </c>
      <c r="AE141" s="181">
        <f>+AB141-AD141</f>
        <v>0</v>
      </c>
      <c r="AF141" s="295">
        <v>8321</v>
      </c>
      <c r="AG141" s="291">
        <v>44281</v>
      </c>
      <c r="AH141" s="276">
        <v>12998.1</v>
      </c>
      <c r="AI141" s="276">
        <f t="shared" si="19"/>
        <v>0</v>
      </c>
      <c r="AJ141" s="275" t="s">
        <v>327</v>
      </c>
      <c r="AK141" s="275" t="s">
        <v>328</v>
      </c>
      <c r="AL141" s="179"/>
      <c r="AM141" s="91" t="s">
        <v>129</v>
      </c>
    </row>
    <row r="142" spans="1:42" s="90" customFormat="1" ht="104.25" customHeight="1" x14ac:dyDescent="0.3">
      <c r="A142" s="95" t="s">
        <v>459</v>
      </c>
      <c r="B142" s="91" t="s">
        <v>65</v>
      </c>
      <c r="C142" s="140" t="s">
        <v>394</v>
      </c>
      <c r="D142" s="91" t="s">
        <v>65</v>
      </c>
      <c r="E142" s="91" t="s">
        <v>144</v>
      </c>
      <c r="F142" s="91">
        <v>78181500</v>
      </c>
      <c r="G142" s="88" t="s">
        <v>460</v>
      </c>
      <c r="H142" s="89">
        <v>6</v>
      </c>
      <c r="I142" s="89">
        <v>6</v>
      </c>
      <c r="J142" s="89">
        <v>6</v>
      </c>
      <c r="K142" s="72">
        <v>1</v>
      </c>
      <c r="L142" s="7" t="s">
        <v>189</v>
      </c>
      <c r="M142" s="89" t="s">
        <v>121</v>
      </c>
      <c r="N142" s="96">
        <v>8000000</v>
      </c>
      <c r="O142" s="7">
        <v>0</v>
      </c>
      <c r="P142" s="7">
        <v>0</v>
      </c>
      <c r="Q142" s="91" t="s">
        <v>47</v>
      </c>
      <c r="R142" s="91" t="s">
        <v>48</v>
      </c>
      <c r="S142" s="88" t="s">
        <v>146</v>
      </c>
      <c r="T142" s="89">
        <v>3846666</v>
      </c>
      <c r="U142" s="94" t="s">
        <v>147</v>
      </c>
      <c r="V142" s="91" t="s">
        <v>323</v>
      </c>
      <c r="W142" s="75" t="s">
        <v>86</v>
      </c>
      <c r="X142" s="88" t="s">
        <v>148</v>
      </c>
      <c r="Y142" s="91"/>
      <c r="Z142" s="91"/>
      <c r="AA142" s="258"/>
      <c r="AB142" s="240">
        <f t="shared" si="16"/>
        <v>8000000</v>
      </c>
      <c r="AC142" s="248"/>
      <c r="AD142" s="249"/>
      <c r="AE142" s="249">
        <f t="shared" si="18"/>
        <v>8000000</v>
      </c>
      <c r="AF142" s="248"/>
      <c r="AG142" s="248"/>
      <c r="AH142" s="249"/>
      <c r="AI142" s="249">
        <f t="shared" si="19"/>
        <v>8000000</v>
      </c>
      <c r="AJ142" s="248"/>
      <c r="AK142" s="248"/>
      <c r="AL142" s="249"/>
      <c r="AM142" s="91"/>
    </row>
    <row r="143" spans="1:42" s="90" customFormat="1" ht="104.25" customHeight="1" x14ac:dyDescent="0.3">
      <c r="A143" s="95" t="s">
        <v>459</v>
      </c>
      <c r="B143" s="91" t="s">
        <v>65</v>
      </c>
      <c r="C143" s="140" t="s">
        <v>394</v>
      </c>
      <c r="D143" s="91" t="s">
        <v>65</v>
      </c>
      <c r="E143" s="91" t="s">
        <v>144</v>
      </c>
      <c r="F143" s="91" t="s">
        <v>461</v>
      </c>
      <c r="G143" s="88" t="s">
        <v>462</v>
      </c>
      <c r="H143" s="89">
        <v>4</v>
      </c>
      <c r="I143" s="89">
        <v>4</v>
      </c>
      <c r="J143" s="89">
        <v>8</v>
      </c>
      <c r="K143" s="72">
        <v>1</v>
      </c>
      <c r="L143" s="7" t="s">
        <v>189</v>
      </c>
      <c r="M143" s="89" t="s">
        <v>121</v>
      </c>
      <c r="N143" s="96">
        <v>6000000</v>
      </c>
      <c r="O143" s="7">
        <v>0</v>
      </c>
      <c r="P143" s="7">
        <v>0</v>
      </c>
      <c r="Q143" s="91" t="s">
        <v>47</v>
      </c>
      <c r="R143" s="91" t="s">
        <v>48</v>
      </c>
      <c r="S143" s="88" t="s">
        <v>146</v>
      </c>
      <c r="T143" s="89">
        <v>3846666</v>
      </c>
      <c r="U143" s="94" t="s">
        <v>147</v>
      </c>
      <c r="V143" s="91" t="s">
        <v>323</v>
      </c>
      <c r="W143" s="75" t="s">
        <v>86</v>
      </c>
      <c r="X143" s="88" t="s">
        <v>148</v>
      </c>
      <c r="Y143" s="91"/>
      <c r="Z143" s="91"/>
      <c r="AA143" s="258"/>
      <c r="AB143" s="8">
        <f t="shared" si="16"/>
        <v>6000000</v>
      </c>
      <c r="AC143" s="180">
        <v>6621</v>
      </c>
      <c r="AD143" s="181">
        <v>6000000</v>
      </c>
      <c r="AE143" s="181">
        <f t="shared" si="18"/>
        <v>0</v>
      </c>
      <c r="AF143" s="275">
        <v>8621</v>
      </c>
      <c r="AG143" s="291">
        <v>44284</v>
      </c>
      <c r="AH143" s="276">
        <v>6000000</v>
      </c>
      <c r="AI143" s="276">
        <f t="shared" si="19"/>
        <v>0</v>
      </c>
      <c r="AJ143" s="275" t="s">
        <v>463</v>
      </c>
      <c r="AK143" s="275" t="s">
        <v>464</v>
      </c>
      <c r="AL143" s="184">
        <f>183500+1229190</f>
        <v>1412690</v>
      </c>
      <c r="AM143" s="91"/>
    </row>
    <row r="144" spans="1:42" s="90" customFormat="1" ht="104.25" customHeight="1" x14ac:dyDescent="0.3">
      <c r="A144" s="95" t="s">
        <v>459</v>
      </c>
      <c r="B144" s="91" t="s">
        <v>65</v>
      </c>
      <c r="C144" s="140" t="s">
        <v>394</v>
      </c>
      <c r="D144" s="91" t="s">
        <v>65</v>
      </c>
      <c r="E144" s="91" t="s">
        <v>144</v>
      </c>
      <c r="F144" s="91" t="s">
        <v>465</v>
      </c>
      <c r="G144" s="88" t="s">
        <v>466</v>
      </c>
      <c r="H144" s="89">
        <v>10</v>
      </c>
      <c r="I144" s="89">
        <v>11</v>
      </c>
      <c r="J144" s="89">
        <v>1</v>
      </c>
      <c r="K144" s="72">
        <v>1</v>
      </c>
      <c r="L144" s="7" t="s">
        <v>189</v>
      </c>
      <c r="M144" s="89" t="s">
        <v>121</v>
      </c>
      <c r="N144" s="96">
        <v>1000000</v>
      </c>
      <c r="O144" s="7">
        <v>0</v>
      </c>
      <c r="P144" s="7">
        <v>0</v>
      </c>
      <c r="Q144" s="91" t="s">
        <v>47</v>
      </c>
      <c r="R144" s="91" t="s">
        <v>48</v>
      </c>
      <c r="S144" s="88" t="s">
        <v>146</v>
      </c>
      <c r="T144" s="89">
        <v>3846666</v>
      </c>
      <c r="U144" s="94" t="s">
        <v>147</v>
      </c>
      <c r="V144" s="91" t="s">
        <v>323</v>
      </c>
      <c r="W144" s="75" t="s">
        <v>86</v>
      </c>
      <c r="X144" s="88" t="s">
        <v>148</v>
      </c>
      <c r="Y144" s="91"/>
      <c r="Z144" s="91"/>
      <c r="AA144" s="258"/>
      <c r="AB144" s="8">
        <f t="shared" ref="AB144:AB164" si="20">+N144+Y144+Z144-AA144</f>
        <v>1000000</v>
      </c>
      <c r="AC144" s="248"/>
      <c r="AD144" s="249"/>
      <c r="AE144" s="249">
        <f t="shared" si="18"/>
        <v>1000000</v>
      </c>
      <c r="AF144" s="248"/>
      <c r="AG144" s="248"/>
      <c r="AH144" s="249"/>
      <c r="AI144" s="249">
        <f t="shared" si="19"/>
        <v>1000000</v>
      </c>
      <c r="AJ144" s="248"/>
      <c r="AK144" s="248"/>
      <c r="AL144" s="249"/>
      <c r="AM144" s="91"/>
    </row>
    <row r="145" spans="1:39" s="90" customFormat="1" ht="104.25" customHeight="1" x14ac:dyDescent="0.3">
      <c r="A145" s="95" t="s">
        <v>459</v>
      </c>
      <c r="B145" s="91" t="s">
        <v>65</v>
      </c>
      <c r="C145" s="140" t="s">
        <v>394</v>
      </c>
      <c r="D145" s="91" t="s">
        <v>65</v>
      </c>
      <c r="E145" s="91" t="s">
        <v>144</v>
      </c>
      <c r="F145" s="91">
        <v>72101511</v>
      </c>
      <c r="G145" s="88" t="s">
        <v>467</v>
      </c>
      <c r="H145" s="89">
        <v>3</v>
      </c>
      <c r="I145" s="89">
        <v>3</v>
      </c>
      <c r="J145" s="89">
        <v>9</v>
      </c>
      <c r="K145" s="72">
        <v>1</v>
      </c>
      <c r="L145" s="7" t="s">
        <v>189</v>
      </c>
      <c r="M145" s="89" t="s">
        <v>121</v>
      </c>
      <c r="N145" s="96">
        <v>5000000</v>
      </c>
      <c r="O145" s="7">
        <v>0</v>
      </c>
      <c r="P145" s="7">
        <v>0</v>
      </c>
      <c r="Q145" s="91" t="s">
        <v>47</v>
      </c>
      <c r="R145" s="91" t="s">
        <v>48</v>
      </c>
      <c r="S145" s="88" t="s">
        <v>146</v>
      </c>
      <c r="T145" s="89">
        <v>3846666</v>
      </c>
      <c r="U145" s="94" t="s">
        <v>147</v>
      </c>
      <c r="V145" s="91" t="s">
        <v>323</v>
      </c>
      <c r="W145" s="75" t="s">
        <v>86</v>
      </c>
      <c r="X145" s="88" t="s">
        <v>148</v>
      </c>
      <c r="Y145" s="91"/>
      <c r="Z145" s="91"/>
      <c r="AA145" s="258"/>
      <c r="AB145" s="8">
        <f t="shared" si="20"/>
        <v>5000000</v>
      </c>
      <c r="AC145" s="180">
        <v>8521</v>
      </c>
      <c r="AD145" s="181">
        <v>5000000</v>
      </c>
      <c r="AE145" s="181">
        <f t="shared" si="18"/>
        <v>0</v>
      </c>
      <c r="AF145" s="248"/>
      <c r="AG145" s="248"/>
      <c r="AH145" s="249"/>
      <c r="AI145" s="249">
        <f t="shared" si="19"/>
        <v>5000000</v>
      </c>
      <c r="AJ145" s="248"/>
      <c r="AK145" s="248"/>
      <c r="AL145" s="249"/>
      <c r="AM145" s="91"/>
    </row>
    <row r="146" spans="1:39" s="90" customFormat="1" ht="104.25" customHeight="1" x14ac:dyDescent="0.3">
      <c r="A146" s="95" t="s">
        <v>459</v>
      </c>
      <c r="B146" s="91" t="s">
        <v>65</v>
      </c>
      <c r="C146" s="140" t="s">
        <v>394</v>
      </c>
      <c r="D146" s="91" t="s">
        <v>65</v>
      </c>
      <c r="E146" s="91" t="s">
        <v>144</v>
      </c>
      <c r="F146" s="91">
        <v>72101509</v>
      </c>
      <c r="G146" s="88" t="s">
        <v>468</v>
      </c>
      <c r="H146" s="89">
        <v>10</v>
      </c>
      <c r="I146" s="89">
        <v>11</v>
      </c>
      <c r="J146" s="89">
        <v>1</v>
      </c>
      <c r="K146" s="72">
        <v>1</v>
      </c>
      <c r="L146" s="7" t="s">
        <v>189</v>
      </c>
      <c r="M146" s="89" t="s">
        <v>121</v>
      </c>
      <c r="N146" s="96">
        <v>7000000</v>
      </c>
      <c r="O146" s="7">
        <v>0</v>
      </c>
      <c r="P146" s="7">
        <v>0</v>
      </c>
      <c r="Q146" s="91" t="s">
        <v>47</v>
      </c>
      <c r="R146" s="91" t="s">
        <v>48</v>
      </c>
      <c r="S146" s="88" t="s">
        <v>146</v>
      </c>
      <c r="T146" s="89">
        <v>3846666</v>
      </c>
      <c r="U146" s="94" t="s">
        <v>147</v>
      </c>
      <c r="V146" s="91" t="s">
        <v>323</v>
      </c>
      <c r="W146" s="75" t="s">
        <v>86</v>
      </c>
      <c r="X146" s="88" t="s">
        <v>148</v>
      </c>
      <c r="Y146" s="91"/>
      <c r="Z146" s="91"/>
      <c r="AA146" s="258"/>
      <c r="AB146" s="8">
        <f t="shared" si="20"/>
        <v>7000000</v>
      </c>
      <c r="AC146" s="248"/>
      <c r="AD146" s="249"/>
      <c r="AE146" s="249">
        <f t="shared" si="18"/>
        <v>7000000</v>
      </c>
      <c r="AF146" s="248"/>
      <c r="AG146" s="248"/>
      <c r="AH146" s="249"/>
      <c r="AI146" s="249">
        <f t="shared" si="19"/>
        <v>7000000</v>
      </c>
      <c r="AJ146" s="248"/>
      <c r="AK146" s="248"/>
      <c r="AL146" s="249"/>
      <c r="AM146" s="91"/>
    </row>
    <row r="147" spans="1:39" s="90" customFormat="1" ht="59.25" customHeight="1" x14ac:dyDescent="0.3">
      <c r="A147" s="95" t="s">
        <v>459</v>
      </c>
      <c r="B147" s="91" t="s">
        <v>65</v>
      </c>
      <c r="C147" s="140" t="s">
        <v>394</v>
      </c>
      <c r="D147" s="91" t="s">
        <v>65</v>
      </c>
      <c r="E147" s="91" t="s">
        <v>144</v>
      </c>
      <c r="F147" s="91" t="s">
        <v>65</v>
      </c>
      <c r="G147" s="88" t="s">
        <v>469</v>
      </c>
      <c r="H147" s="89" t="s">
        <v>65</v>
      </c>
      <c r="I147" s="89" t="s">
        <v>65</v>
      </c>
      <c r="J147" s="89" t="s">
        <v>65</v>
      </c>
      <c r="K147" s="89" t="s">
        <v>65</v>
      </c>
      <c r="L147" s="91" t="s">
        <v>67</v>
      </c>
      <c r="M147" s="89" t="s">
        <v>46</v>
      </c>
      <c r="N147" s="96">
        <f>350000*11</f>
        <v>3850000</v>
      </c>
      <c r="O147" s="7">
        <v>0</v>
      </c>
      <c r="P147" s="7">
        <v>0</v>
      </c>
      <c r="Q147" s="91" t="s">
        <v>47</v>
      </c>
      <c r="R147" s="91" t="s">
        <v>48</v>
      </c>
      <c r="S147" s="88" t="s">
        <v>146</v>
      </c>
      <c r="T147" s="89">
        <v>3846666</v>
      </c>
      <c r="U147" s="94" t="s">
        <v>147</v>
      </c>
      <c r="V147" s="91" t="s">
        <v>323</v>
      </c>
      <c r="W147" s="75" t="s">
        <v>332</v>
      </c>
      <c r="X147" s="88" t="s">
        <v>148</v>
      </c>
      <c r="Y147" s="91"/>
      <c r="Z147" s="91"/>
      <c r="AA147" s="258"/>
      <c r="AB147" s="8">
        <f t="shared" si="20"/>
        <v>3850000</v>
      </c>
      <c r="AC147" s="180" t="s">
        <v>818</v>
      </c>
      <c r="AD147" s="181">
        <f>350000+321300+328440+323680</f>
        <v>1323420</v>
      </c>
      <c r="AE147" s="181">
        <f t="shared" si="18"/>
        <v>2526580</v>
      </c>
      <c r="AF147" s="275" t="s">
        <v>822</v>
      </c>
      <c r="AG147" s="291" t="s">
        <v>823</v>
      </c>
      <c r="AH147" s="276">
        <f>350000+321300+328440+323680</f>
        <v>1323420</v>
      </c>
      <c r="AI147" s="276">
        <f t="shared" si="19"/>
        <v>2526580</v>
      </c>
      <c r="AJ147" s="275" t="s">
        <v>470</v>
      </c>
      <c r="AK147" s="275" t="s">
        <v>332</v>
      </c>
      <c r="AL147" s="184">
        <f>350000+321300+328440+323680</f>
        <v>1323420</v>
      </c>
      <c r="AM147" s="91"/>
    </row>
    <row r="148" spans="1:39" s="90" customFormat="1" ht="104.25" customHeight="1" x14ac:dyDescent="0.3">
      <c r="A148" s="95" t="s">
        <v>459</v>
      </c>
      <c r="B148" s="91" t="s">
        <v>65</v>
      </c>
      <c r="C148" s="140" t="s">
        <v>394</v>
      </c>
      <c r="D148" s="91" t="s">
        <v>65</v>
      </c>
      <c r="E148" s="91" t="s">
        <v>144</v>
      </c>
      <c r="F148" s="91" t="s">
        <v>471</v>
      </c>
      <c r="G148" s="88" t="s">
        <v>472</v>
      </c>
      <c r="H148" s="89">
        <v>2</v>
      </c>
      <c r="I148" s="89">
        <v>2</v>
      </c>
      <c r="J148" s="89">
        <v>10</v>
      </c>
      <c r="K148" s="72">
        <v>1</v>
      </c>
      <c r="L148" s="7" t="s">
        <v>189</v>
      </c>
      <c r="M148" s="89" t="s">
        <v>121</v>
      </c>
      <c r="N148" s="96">
        <v>3000000</v>
      </c>
      <c r="O148" s="7">
        <v>0</v>
      </c>
      <c r="P148" s="7">
        <v>0</v>
      </c>
      <c r="Q148" s="91" t="s">
        <v>47</v>
      </c>
      <c r="R148" s="91" t="s">
        <v>48</v>
      </c>
      <c r="S148" s="88" t="s">
        <v>146</v>
      </c>
      <c r="T148" s="89">
        <v>3846666</v>
      </c>
      <c r="U148" s="94" t="s">
        <v>147</v>
      </c>
      <c r="V148" s="91" t="s">
        <v>323</v>
      </c>
      <c r="W148" s="75" t="s">
        <v>86</v>
      </c>
      <c r="X148" s="88" t="s">
        <v>148</v>
      </c>
      <c r="Y148" s="91"/>
      <c r="Z148" s="91"/>
      <c r="AA148" s="258"/>
      <c r="AB148" s="8">
        <f t="shared" si="20"/>
        <v>3000000</v>
      </c>
      <c r="AC148" s="248"/>
      <c r="AD148" s="249"/>
      <c r="AE148" s="249">
        <f t="shared" si="18"/>
        <v>3000000</v>
      </c>
      <c r="AF148" s="248"/>
      <c r="AG148" s="248"/>
      <c r="AH148" s="249"/>
      <c r="AI148" s="249">
        <f t="shared" si="19"/>
        <v>3000000</v>
      </c>
      <c r="AJ148" s="248"/>
      <c r="AK148" s="248"/>
      <c r="AL148" s="249"/>
      <c r="AM148" s="91"/>
    </row>
    <row r="149" spans="1:39" s="90" customFormat="1" ht="104.25" customHeight="1" x14ac:dyDescent="0.3">
      <c r="A149" s="105" t="s">
        <v>473</v>
      </c>
      <c r="B149" s="91" t="s">
        <v>65</v>
      </c>
      <c r="C149" s="140" t="s">
        <v>394</v>
      </c>
      <c r="D149" s="91" t="s">
        <v>65</v>
      </c>
      <c r="E149" s="91" t="s">
        <v>271</v>
      </c>
      <c r="F149" s="88" t="s">
        <v>474</v>
      </c>
      <c r="G149" s="247" t="s">
        <v>475</v>
      </c>
      <c r="H149" s="89">
        <v>6</v>
      </c>
      <c r="I149" s="89">
        <v>6</v>
      </c>
      <c r="J149" s="89">
        <v>1</v>
      </c>
      <c r="K149" s="72">
        <v>1</v>
      </c>
      <c r="L149" s="7" t="s">
        <v>189</v>
      </c>
      <c r="M149" s="89" t="s">
        <v>121</v>
      </c>
      <c r="N149" s="119">
        <f>14500000-4500000</f>
        <v>10000000</v>
      </c>
      <c r="O149" s="7">
        <v>0</v>
      </c>
      <c r="P149" s="7">
        <v>0</v>
      </c>
      <c r="Q149" s="91" t="s">
        <v>47</v>
      </c>
      <c r="R149" s="91" t="s">
        <v>48</v>
      </c>
      <c r="S149" s="88" t="s">
        <v>257</v>
      </c>
      <c r="T149" s="88">
        <v>3846666</v>
      </c>
      <c r="U149" s="94" t="s">
        <v>258</v>
      </c>
      <c r="V149" s="91" t="s">
        <v>323</v>
      </c>
      <c r="W149" s="89" t="s">
        <v>86</v>
      </c>
      <c r="X149" s="88" t="s">
        <v>476</v>
      </c>
      <c r="Y149" s="91"/>
      <c r="Z149" s="91"/>
      <c r="AA149" s="260">
        <v>6000000</v>
      </c>
      <c r="AB149" s="8">
        <f t="shared" si="20"/>
        <v>4000000</v>
      </c>
      <c r="AC149" s="180">
        <v>8621</v>
      </c>
      <c r="AD149" s="181">
        <f>9511075-5511075</f>
        <v>4000000</v>
      </c>
      <c r="AE149" s="181">
        <f t="shared" si="18"/>
        <v>0</v>
      </c>
      <c r="AF149" s="275">
        <v>10421</v>
      </c>
      <c r="AG149" s="291">
        <v>44316</v>
      </c>
      <c r="AH149" s="276">
        <v>4000000</v>
      </c>
      <c r="AI149" s="276">
        <f t="shared" si="19"/>
        <v>0</v>
      </c>
      <c r="AJ149" s="275" t="s">
        <v>477</v>
      </c>
      <c r="AK149" s="275" t="s">
        <v>478</v>
      </c>
      <c r="AL149" s="249"/>
      <c r="AM149" s="91" t="s">
        <v>62</v>
      </c>
    </row>
    <row r="150" spans="1:39" s="90" customFormat="1" ht="104.25" customHeight="1" x14ac:dyDescent="0.3">
      <c r="A150" s="105" t="s">
        <v>473</v>
      </c>
      <c r="B150" s="91" t="s">
        <v>65</v>
      </c>
      <c r="C150" s="140" t="s">
        <v>394</v>
      </c>
      <c r="D150" s="91" t="s">
        <v>65</v>
      </c>
      <c r="E150" s="91" t="s">
        <v>271</v>
      </c>
      <c r="F150" s="88">
        <v>81112306</v>
      </c>
      <c r="G150" s="88" t="s">
        <v>479</v>
      </c>
      <c r="H150" s="89">
        <v>6</v>
      </c>
      <c r="I150" s="89">
        <v>6</v>
      </c>
      <c r="J150" s="89">
        <v>1</v>
      </c>
      <c r="K150" s="72">
        <v>1</v>
      </c>
      <c r="L150" s="7" t="s">
        <v>189</v>
      </c>
      <c r="M150" s="89" t="s">
        <v>121</v>
      </c>
      <c r="N150" s="119">
        <f>7500000-2500000</f>
        <v>5000000</v>
      </c>
      <c r="O150" s="7">
        <v>0</v>
      </c>
      <c r="P150" s="7">
        <v>0</v>
      </c>
      <c r="Q150" s="91" t="s">
        <v>47</v>
      </c>
      <c r="R150" s="91" t="s">
        <v>48</v>
      </c>
      <c r="S150" s="88" t="s">
        <v>257</v>
      </c>
      <c r="T150" s="88">
        <v>3846666</v>
      </c>
      <c r="U150" s="94" t="s">
        <v>258</v>
      </c>
      <c r="V150" s="91" t="s">
        <v>323</v>
      </c>
      <c r="W150" s="89" t="s">
        <v>86</v>
      </c>
      <c r="X150" s="88" t="s">
        <v>476</v>
      </c>
      <c r="Y150" s="91"/>
      <c r="Z150" s="259">
        <v>3000000</v>
      </c>
      <c r="AA150" s="258"/>
      <c r="AB150" s="8">
        <f t="shared" si="20"/>
        <v>8000000</v>
      </c>
      <c r="AC150" s="180">
        <v>9821</v>
      </c>
      <c r="AD150" s="181">
        <v>6682025</v>
      </c>
      <c r="AE150" s="181">
        <f t="shared" si="18"/>
        <v>1317975</v>
      </c>
      <c r="AF150" s="275">
        <v>12821</v>
      </c>
      <c r="AG150" s="275" t="s">
        <v>149</v>
      </c>
      <c r="AH150" s="276">
        <v>6682025</v>
      </c>
      <c r="AI150" s="276">
        <f t="shared" si="19"/>
        <v>1317975</v>
      </c>
      <c r="AJ150" s="275" t="s">
        <v>480</v>
      </c>
      <c r="AK150" s="275" t="s">
        <v>481</v>
      </c>
      <c r="AL150" s="249"/>
      <c r="AM150" s="91" t="s">
        <v>62</v>
      </c>
    </row>
    <row r="151" spans="1:39" s="90" customFormat="1" ht="104.25" customHeight="1" x14ac:dyDescent="0.3">
      <c r="A151" s="105" t="s">
        <v>473</v>
      </c>
      <c r="B151" s="91" t="s">
        <v>65</v>
      </c>
      <c r="C151" s="140" t="s">
        <v>394</v>
      </c>
      <c r="D151" s="91" t="s">
        <v>65</v>
      </c>
      <c r="E151" s="91" t="s">
        <v>271</v>
      </c>
      <c r="F151" s="88">
        <v>44103125</v>
      </c>
      <c r="G151" s="88" t="s">
        <v>482</v>
      </c>
      <c r="H151" s="89">
        <v>6</v>
      </c>
      <c r="I151" s="89">
        <v>6</v>
      </c>
      <c r="J151" s="89">
        <v>1</v>
      </c>
      <c r="K151" s="72">
        <v>1</v>
      </c>
      <c r="L151" s="7" t="s">
        <v>189</v>
      </c>
      <c r="M151" s="89" t="s">
        <v>121</v>
      </c>
      <c r="N151" s="119">
        <f>7500000-2500000</f>
        <v>5000000</v>
      </c>
      <c r="O151" s="7">
        <v>0</v>
      </c>
      <c r="P151" s="7">
        <v>0</v>
      </c>
      <c r="Q151" s="91" t="s">
        <v>47</v>
      </c>
      <c r="R151" s="91" t="s">
        <v>48</v>
      </c>
      <c r="S151" s="88" t="s">
        <v>257</v>
      </c>
      <c r="T151" s="88">
        <v>3846666</v>
      </c>
      <c r="U151" s="94" t="s">
        <v>258</v>
      </c>
      <c r="V151" s="91" t="s">
        <v>323</v>
      </c>
      <c r="W151" s="89" t="s">
        <v>86</v>
      </c>
      <c r="X151" s="88" t="s">
        <v>476</v>
      </c>
      <c r="Y151" s="91"/>
      <c r="Z151" s="259">
        <v>3000000</v>
      </c>
      <c r="AA151" s="258"/>
      <c r="AB151" s="8">
        <f t="shared" si="20"/>
        <v>8000000</v>
      </c>
      <c r="AC151" s="180">
        <v>9821</v>
      </c>
      <c r="AD151" s="181">
        <v>6941240</v>
      </c>
      <c r="AE151" s="181">
        <f t="shared" si="18"/>
        <v>1058760</v>
      </c>
      <c r="AF151" s="275">
        <v>12821</v>
      </c>
      <c r="AG151" s="275" t="s">
        <v>149</v>
      </c>
      <c r="AH151" s="276">
        <v>6941240</v>
      </c>
      <c r="AI151" s="276">
        <f t="shared" si="19"/>
        <v>1058760</v>
      </c>
      <c r="AJ151" s="275" t="s">
        <v>480</v>
      </c>
      <c r="AK151" s="275" t="s">
        <v>481</v>
      </c>
      <c r="AL151" s="249"/>
      <c r="AM151" s="91" t="s">
        <v>62</v>
      </c>
    </row>
    <row r="152" spans="1:39" s="90" customFormat="1" ht="104.25" customHeight="1" x14ac:dyDescent="0.3">
      <c r="A152" s="95" t="s">
        <v>483</v>
      </c>
      <c r="B152" s="91" t="s">
        <v>65</v>
      </c>
      <c r="C152" s="143" t="s">
        <v>484</v>
      </c>
      <c r="D152" s="91" t="s">
        <v>65</v>
      </c>
      <c r="E152" s="91" t="s">
        <v>144</v>
      </c>
      <c r="F152" s="91" t="s">
        <v>65</v>
      </c>
      <c r="G152" s="88" t="s">
        <v>485</v>
      </c>
      <c r="H152" s="89" t="s">
        <v>65</v>
      </c>
      <c r="I152" s="89" t="s">
        <v>65</v>
      </c>
      <c r="J152" s="89" t="s">
        <v>65</v>
      </c>
      <c r="K152" s="89" t="s">
        <v>65</v>
      </c>
      <c r="L152" s="91" t="s">
        <v>67</v>
      </c>
      <c r="M152" s="89" t="s">
        <v>121</v>
      </c>
      <c r="N152" s="96">
        <v>5200000</v>
      </c>
      <c r="O152" s="7">
        <v>0</v>
      </c>
      <c r="P152" s="7">
        <v>0</v>
      </c>
      <c r="Q152" s="91" t="s">
        <v>47</v>
      </c>
      <c r="R152" s="91" t="s">
        <v>48</v>
      </c>
      <c r="S152" s="88" t="s">
        <v>146</v>
      </c>
      <c r="T152" s="89">
        <v>3846666</v>
      </c>
      <c r="U152" s="94" t="s">
        <v>147</v>
      </c>
      <c r="V152" s="91" t="s">
        <v>323</v>
      </c>
      <c r="W152" s="75" t="s">
        <v>86</v>
      </c>
      <c r="X152" s="88" t="s">
        <v>148</v>
      </c>
      <c r="Y152" s="91"/>
      <c r="Z152" s="91"/>
      <c r="AA152" s="258"/>
      <c r="AB152" s="8">
        <f t="shared" si="20"/>
        <v>5200000</v>
      </c>
      <c r="AC152" s="180" t="s">
        <v>378</v>
      </c>
      <c r="AD152" s="181">
        <f>72670+318950+309502.96+316640+313320</f>
        <v>1331082.96</v>
      </c>
      <c r="AE152" s="181">
        <f t="shared" si="18"/>
        <v>3868917.04</v>
      </c>
      <c r="AF152" s="275" t="s">
        <v>824</v>
      </c>
      <c r="AG152" s="291" t="s">
        <v>825</v>
      </c>
      <c r="AH152" s="276">
        <f>72670+318950+309502.96+316640+313320</f>
        <v>1331082.96</v>
      </c>
      <c r="AI152" s="276">
        <f t="shared" si="19"/>
        <v>3868917.04</v>
      </c>
      <c r="AJ152" s="275" t="s">
        <v>379</v>
      </c>
      <c r="AK152" s="275" t="s">
        <v>380</v>
      </c>
      <c r="AL152" s="184">
        <f>72670+318950+309502.96+316640+313320</f>
        <v>1331082.96</v>
      </c>
      <c r="AM152" s="91"/>
    </row>
    <row r="153" spans="1:39" s="90" customFormat="1" ht="37.5" customHeight="1" x14ac:dyDescent="0.3">
      <c r="A153" s="95" t="s">
        <v>483</v>
      </c>
      <c r="B153" s="91" t="s">
        <v>65</v>
      </c>
      <c r="C153" s="143" t="s">
        <v>484</v>
      </c>
      <c r="D153" s="91" t="s">
        <v>65</v>
      </c>
      <c r="E153" s="91" t="s">
        <v>144</v>
      </c>
      <c r="F153" s="91">
        <v>72102103</v>
      </c>
      <c r="G153" s="247" t="s">
        <v>486</v>
      </c>
      <c r="H153" s="89">
        <v>2</v>
      </c>
      <c r="I153" s="89">
        <v>3</v>
      </c>
      <c r="J153" s="89">
        <v>9</v>
      </c>
      <c r="K153" s="72">
        <v>1</v>
      </c>
      <c r="L153" s="7" t="s">
        <v>189</v>
      </c>
      <c r="M153" s="89" t="s">
        <v>121</v>
      </c>
      <c r="N153" s="96">
        <v>1500000</v>
      </c>
      <c r="O153" s="7">
        <v>0</v>
      </c>
      <c r="P153" s="7">
        <v>0</v>
      </c>
      <c r="Q153" s="91" t="s">
        <v>47</v>
      </c>
      <c r="R153" s="91" t="s">
        <v>48</v>
      </c>
      <c r="S153" s="88" t="s">
        <v>146</v>
      </c>
      <c r="T153" s="89">
        <v>3846666</v>
      </c>
      <c r="U153" s="94" t="s">
        <v>147</v>
      </c>
      <c r="V153" s="91" t="s">
        <v>323</v>
      </c>
      <c r="W153" s="75" t="s">
        <v>86</v>
      </c>
      <c r="X153" s="88" t="s">
        <v>148</v>
      </c>
      <c r="Y153" s="91"/>
      <c r="Z153" s="91"/>
      <c r="AA153" s="257">
        <v>1424558.66</v>
      </c>
      <c r="AB153" s="8">
        <f t="shared" si="20"/>
        <v>75441.340000000084</v>
      </c>
      <c r="AC153" s="180">
        <v>7621</v>
      </c>
      <c r="AD153" s="246">
        <v>75441.34</v>
      </c>
      <c r="AE153" s="181">
        <f t="shared" si="18"/>
        <v>0</v>
      </c>
      <c r="AF153" s="295">
        <v>8321</v>
      </c>
      <c r="AG153" s="291">
        <v>44281</v>
      </c>
      <c r="AH153" s="296">
        <v>75441.34</v>
      </c>
      <c r="AI153" s="276">
        <f t="shared" si="19"/>
        <v>0</v>
      </c>
      <c r="AJ153" s="275" t="s">
        <v>327</v>
      </c>
      <c r="AK153" s="275" t="s">
        <v>328</v>
      </c>
      <c r="AL153" s="179"/>
      <c r="AM153" s="91" t="s">
        <v>129</v>
      </c>
    </row>
    <row r="154" spans="1:39" s="90" customFormat="1" ht="54.6" customHeight="1" x14ac:dyDescent="0.3">
      <c r="A154" s="95" t="s">
        <v>483</v>
      </c>
      <c r="B154" s="91" t="s">
        <v>65</v>
      </c>
      <c r="C154" s="143" t="s">
        <v>484</v>
      </c>
      <c r="D154" s="91" t="s">
        <v>65</v>
      </c>
      <c r="E154" s="91" t="s">
        <v>144</v>
      </c>
      <c r="F154" s="91">
        <v>72102103</v>
      </c>
      <c r="G154" s="88" t="s">
        <v>487</v>
      </c>
      <c r="H154" s="89">
        <v>2</v>
      </c>
      <c r="I154" s="89">
        <v>3</v>
      </c>
      <c r="J154" s="89">
        <v>9</v>
      </c>
      <c r="K154" s="72">
        <v>1</v>
      </c>
      <c r="L154" s="7" t="s">
        <v>189</v>
      </c>
      <c r="M154" s="89" t="s">
        <v>46</v>
      </c>
      <c r="N154" s="96">
        <v>523599</v>
      </c>
      <c r="O154" s="7">
        <v>1</v>
      </c>
      <c r="P154" s="7">
        <v>3</v>
      </c>
      <c r="Q154" s="91" t="s">
        <v>47</v>
      </c>
      <c r="R154" s="91" t="s">
        <v>48</v>
      </c>
      <c r="S154" s="88" t="s">
        <v>146</v>
      </c>
      <c r="T154" s="89">
        <v>3846666</v>
      </c>
      <c r="U154" s="94" t="s">
        <v>147</v>
      </c>
      <c r="V154" s="91" t="s">
        <v>323</v>
      </c>
      <c r="W154" s="75" t="s">
        <v>86</v>
      </c>
      <c r="X154" s="88" t="s">
        <v>148</v>
      </c>
      <c r="Y154" s="91"/>
      <c r="Z154" s="91"/>
      <c r="AA154" s="258"/>
      <c r="AB154" s="8">
        <f t="shared" ref="AB154" si="21">+N154+Y154+Z154-AA154</f>
        <v>523599</v>
      </c>
      <c r="AC154" s="180">
        <v>1121</v>
      </c>
      <c r="AD154" s="181">
        <v>523599</v>
      </c>
      <c r="AE154" s="181">
        <f t="shared" si="18"/>
        <v>0</v>
      </c>
      <c r="AF154" s="275">
        <v>521</v>
      </c>
      <c r="AG154" s="291">
        <v>44214</v>
      </c>
      <c r="AH154" s="276">
        <v>523599</v>
      </c>
      <c r="AI154" s="276">
        <f t="shared" si="19"/>
        <v>0</v>
      </c>
      <c r="AJ154" s="275" t="s">
        <v>457</v>
      </c>
      <c r="AK154" s="275" t="s">
        <v>458</v>
      </c>
      <c r="AL154" s="184">
        <v>501913.93</v>
      </c>
      <c r="AM154" s="91"/>
    </row>
    <row r="155" spans="1:39" s="90" customFormat="1" ht="104.25" customHeight="1" x14ac:dyDescent="0.3">
      <c r="A155" s="95" t="s">
        <v>488</v>
      </c>
      <c r="B155" s="91" t="s">
        <v>65</v>
      </c>
      <c r="C155" s="143" t="s">
        <v>484</v>
      </c>
      <c r="D155" s="91" t="s">
        <v>65</v>
      </c>
      <c r="E155" s="91" t="s">
        <v>489</v>
      </c>
      <c r="F155" s="91">
        <v>93141506</v>
      </c>
      <c r="G155" s="88" t="s">
        <v>490</v>
      </c>
      <c r="H155" s="87">
        <v>4</v>
      </c>
      <c r="I155" s="87">
        <v>4</v>
      </c>
      <c r="J155" s="87">
        <v>8</v>
      </c>
      <c r="K155" s="72">
        <v>1</v>
      </c>
      <c r="L155" s="7" t="s">
        <v>189</v>
      </c>
      <c r="M155" s="87" t="s">
        <v>121</v>
      </c>
      <c r="N155" s="119">
        <f>20000000-1100000-8900000</f>
        <v>10000000</v>
      </c>
      <c r="O155" s="7">
        <v>0</v>
      </c>
      <c r="P155" s="7">
        <v>0</v>
      </c>
      <c r="Q155" s="91" t="s">
        <v>47</v>
      </c>
      <c r="R155" s="91" t="s">
        <v>48</v>
      </c>
      <c r="S155" s="63" t="s">
        <v>146</v>
      </c>
      <c r="T155" s="88">
        <v>3846666</v>
      </c>
      <c r="U155" s="94" t="s">
        <v>147</v>
      </c>
      <c r="V155" s="91" t="s">
        <v>323</v>
      </c>
      <c r="W155" s="75" t="s">
        <v>86</v>
      </c>
      <c r="X155" s="97" t="s">
        <v>243</v>
      </c>
      <c r="Y155" s="91"/>
      <c r="Z155" s="91"/>
      <c r="AA155" s="258"/>
      <c r="AB155" s="8">
        <f t="shared" si="20"/>
        <v>10000000</v>
      </c>
      <c r="AC155" s="248"/>
      <c r="AD155" s="249"/>
      <c r="AE155" s="249">
        <f t="shared" si="18"/>
        <v>10000000</v>
      </c>
      <c r="AF155" s="248"/>
      <c r="AG155" s="248"/>
      <c r="AH155" s="249"/>
      <c r="AI155" s="249">
        <f t="shared" si="19"/>
        <v>10000000</v>
      </c>
      <c r="AJ155" s="248"/>
      <c r="AK155" s="248"/>
      <c r="AL155" s="249"/>
      <c r="AM155" s="91"/>
    </row>
    <row r="156" spans="1:39" s="90" customFormat="1" ht="104.25" customHeight="1" x14ac:dyDescent="0.3">
      <c r="A156" s="95" t="s">
        <v>491</v>
      </c>
      <c r="B156" s="91" t="s">
        <v>65</v>
      </c>
      <c r="C156" s="143" t="s">
        <v>484</v>
      </c>
      <c r="D156" s="91" t="s">
        <v>65</v>
      </c>
      <c r="E156" s="91" t="s">
        <v>144</v>
      </c>
      <c r="F156" s="91">
        <v>72153501</v>
      </c>
      <c r="G156" s="88" t="s">
        <v>492</v>
      </c>
      <c r="H156" s="89">
        <v>2</v>
      </c>
      <c r="I156" s="89">
        <v>3</v>
      </c>
      <c r="J156" s="89">
        <v>9</v>
      </c>
      <c r="K156" s="72">
        <v>1</v>
      </c>
      <c r="L156" s="7" t="s">
        <v>189</v>
      </c>
      <c r="M156" s="89" t="s">
        <v>121</v>
      </c>
      <c r="N156" s="96">
        <v>7500000</v>
      </c>
      <c r="O156" s="7">
        <v>0</v>
      </c>
      <c r="P156" s="7">
        <v>0</v>
      </c>
      <c r="Q156" s="91" t="s">
        <v>47</v>
      </c>
      <c r="R156" s="91" t="s">
        <v>48</v>
      </c>
      <c r="S156" s="88" t="s">
        <v>146</v>
      </c>
      <c r="T156" s="89">
        <v>3846666</v>
      </c>
      <c r="U156" s="94" t="s">
        <v>147</v>
      </c>
      <c r="V156" s="91" t="s">
        <v>323</v>
      </c>
      <c r="W156" s="75" t="s">
        <v>86</v>
      </c>
      <c r="X156" s="88" t="s">
        <v>148</v>
      </c>
      <c r="Y156" s="91"/>
      <c r="Z156" s="91"/>
      <c r="AA156" s="258"/>
      <c r="AB156" s="8">
        <f t="shared" si="20"/>
        <v>7500000</v>
      </c>
      <c r="AC156" s="180">
        <v>11621</v>
      </c>
      <c r="AD156" s="181">
        <v>7448250</v>
      </c>
      <c r="AE156" s="181">
        <f t="shared" si="18"/>
        <v>51750</v>
      </c>
      <c r="AF156" s="248"/>
      <c r="AG156" s="248"/>
      <c r="AH156" s="249"/>
      <c r="AI156" s="249">
        <f t="shared" si="19"/>
        <v>7500000</v>
      </c>
      <c r="AJ156" s="248"/>
      <c r="AK156" s="248"/>
      <c r="AL156" s="249"/>
      <c r="AM156" s="91"/>
    </row>
    <row r="157" spans="1:39" s="90" customFormat="1" ht="150" customHeight="1" x14ac:dyDescent="0.3">
      <c r="A157" s="95" t="s">
        <v>65</v>
      </c>
      <c r="B157" s="91" t="s">
        <v>65</v>
      </c>
      <c r="C157" s="143" t="s">
        <v>484</v>
      </c>
      <c r="D157" s="91" t="s">
        <v>65</v>
      </c>
      <c r="E157" s="91" t="s">
        <v>144</v>
      </c>
      <c r="F157" s="91" t="s">
        <v>493</v>
      </c>
      <c r="G157" s="88" t="s">
        <v>494</v>
      </c>
      <c r="H157" s="89">
        <v>5</v>
      </c>
      <c r="I157" s="89">
        <v>5</v>
      </c>
      <c r="J157" s="89">
        <v>24</v>
      </c>
      <c r="K157" s="72">
        <v>2</v>
      </c>
      <c r="L157" s="7" t="s">
        <v>45</v>
      </c>
      <c r="M157" s="89" t="s">
        <v>65</v>
      </c>
      <c r="N157" s="96">
        <v>0</v>
      </c>
      <c r="O157" s="7">
        <v>0</v>
      </c>
      <c r="P157" s="7">
        <v>0</v>
      </c>
      <c r="Q157" s="91" t="s">
        <v>47</v>
      </c>
      <c r="R157" s="91" t="s">
        <v>48</v>
      </c>
      <c r="S157" s="88" t="s">
        <v>146</v>
      </c>
      <c r="T157" s="89">
        <v>3846666</v>
      </c>
      <c r="U157" s="94" t="s">
        <v>147</v>
      </c>
      <c r="V157" s="91" t="s">
        <v>323</v>
      </c>
      <c r="W157" s="75" t="s">
        <v>86</v>
      </c>
      <c r="X157" s="88" t="s">
        <v>148</v>
      </c>
      <c r="Y157" s="91"/>
      <c r="Z157" s="91"/>
      <c r="AA157" s="258"/>
      <c r="AB157" s="8">
        <f t="shared" si="20"/>
        <v>0</v>
      </c>
      <c r="AC157" s="248"/>
      <c r="AD157" s="249"/>
      <c r="AE157" s="249">
        <f t="shared" si="18"/>
        <v>0</v>
      </c>
      <c r="AF157" s="248"/>
      <c r="AG157" s="248"/>
      <c r="AH157" s="249"/>
      <c r="AI157" s="249">
        <f t="shared" si="19"/>
        <v>0</v>
      </c>
      <c r="AJ157" s="248"/>
      <c r="AK157" s="248"/>
      <c r="AL157" s="249"/>
      <c r="AM157" s="91" t="s">
        <v>62</v>
      </c>
    </row>
    <row r="158" spans="1:39" s="90" customFormat="1" ht="69.599999999999994" customHeight="1" x14ac:dyDescent="0.3">
      <c r="A158" s="95" t="s">
        <v>495</v>
      </c>
      <c r="B158" s="91" t="s">
        <v>65</v>
      </c>
      <c r="C158" s="106" t="s">
        <v>496</v>
      </c>
      <c r="D158" s="91" t="s">
        <v>65</v>
      </c>
      <c r="E158" s="91" t="s">
        <v>489</v>
      </c>
      <c r="F158" s="91">
        <v>76122406</v>
      </c>
      <c r="G158" s="88" t="s">
        <v>497</v>
      </c>
      <c r="H158" s="89">
        <v>4</v>
      </c>
      <c r="I158" s="89">
        <v>4</v>
      </c>
      <c r="J158" s="89">
        <v>1</v>
      </c>
      <c r="K158" s="72">
        <v>1</v>
      </c>
      <c r="L158" s="7" t="s">
        <v>189</v>
      </c>
      <c r="M158" s="91" t="s">
        <v>121</v>
      </c>
      <c r="N158" s="96">
        <f>4500000+296313+278-497351</f>
        <v>4299240</v>
      </c>
      <c r="O158" s="7">
        <v>0</v>
      </c>
      <c r="P158" s="7">
        <v>0</v>
      </c>
      <c r="Q158" s="91" t="s">
        <v>47</v>
      </c>
      <c r="R158" s="91" t="s">
        <v>48</v>
      </c>
      <c r="S158" s="88" t="s">
        <v>146</v>
      </c>
      <c r="T158" s="89">
        <v>3846666</v>
      </c>
      <c r="U158" s="94" t="s">
        <v>147</v>
      </c>
      <c r="V158" s="91" t="s">
        <v>323</v>
      </c>
      <c r="W158" s="75" t="s">
        <v>158</v>
      </c>
      <c r="X158" s="97" t="s">
        <v>243</v>
      </c>
      <c r="Y158" s="91"/>
      <c r="Z158" s="91"/>
      <c r="AA158" s="258"/>
      <c r="AB158" s="8">
        <f t="shared" si="20"/>
        <v>4299240</v>
      </c>
      <c r="AC158" s="180">
        <v>12421</v>
      </c>
      <c r="AD158" s="181">
        <v>4299240</v>
      </c>
      <c r="AE158" s="181">
        <f t="shared" si="18"/>
        <v>0</v>
      </c>
      <c r="AF158" s="248"/>
      <c r="AG158" s="248"/>
      <c r="AH158" s="249"/>
      <c r="AI158" s="249">
        <f t="shared" si="19"/>
        <v>4299240</v>
      </c>
      <c r="AJ158" s="248"/>
      <c r="AK158" s="248"/>
      <c r="AL158" s="249"/>
      <c r="AM158" s="91"/>
    </row>
    <row r="159" spans="1:39" ht="68.400000000000006" customHeight="1" x14ac:dyDescent="0.3">
      <c r="A159" s="155" t="s">
        <v>498</v>
      </c>
      <c r="B159" s="91" t="s">
        <v>65</v>
      </c>
      <c r="C159" s="62" t="s">
        <v>499</v>
      </c>
      <c r="D159" s="91" t="s">
        <v>65</v>
      </c>
      <c r="E159" s="91" t="s">
        <v>400</v>
      </c>
      <c r="F159" s="91" t="s">
        <v>65</v>
      </c>
      <c r="G159" s="7" t="s">
        <v>500</v>
      </c>
      <c r="H159" s="89" t="s">
        <v>65</v>
      </c>
      <c r="I159" s="89" t="s">
        <v>65</v>
      </c>
      <c r="J159" s="89" t="s">
        <v>65</v>
      </c>
      <c r="K159" s="89" t="s">
        <v>65</v>
      </c>
      <c r="L159" s="91" t="s">
        <v>67</v>
      </c>
      <c r="M159" s="91" t="s">
        <v>46</v>
      </c>
      <c r="N159" s="6">
        <v>48794275</v>
      </c>
      <c r="O159" s="7">
        <v>0</v>
      </c>
      <c r="P159" s="7">
        <v>0</v>
      </c>
      <c r="Q159" s="91" t="s">
        <v>47</v>
      </c>
      <c r="R159" s="91" t="s">
        <v>48</v>
      </c>
      <c r="S159" s="88" t="s">
        <v>146</v>
      </c>
      <c r="T159" s="89">
        <v>3846667</v>
      </c>
      <c r="U159" s="94" t="s">
        <v>147</v>
      </c>
      <c r="V159" s="91" t="s">
        <v>323</v>
      </c>
      <c r="W159" s="7" t="s">
        <v>65</v>
      </c>
      <c r="X159" s="108" t="s">
        <v>65</v>
      </c>
      <c r="Y159" s="7"/>
      <c r="Z159" s="7"/>
      <c r="AA159" s="7"/>
      <c r="AB159" s="8">
        <f>+N159+Y159+Z159-AA159</f>
        <v>48794275</v>
      </c>
      <c r="AC159" s="248"/>
      <c r="AD159" s="249"/>
      <c r="AE159" s="249">
        <f t="shared" si="18"/>
        <v>48794275</v>
      </c>
      <c r="AF159" s="248"/>
      <c r="AG159" s="248"/>
      <c r="AH159" s="249"/>
      <c r="AI159" s="249">
        <f t="shared" si="19"/>
        <v>48794275</v>
      </c>
      <c r="AJ159" s="248"/>
      <c r="AK159" s="248"/>
      <c r="AL159" s="249"/>
      <c r="AM159" s="91"/>
    </row>
    <row r="160" spans="1:39" s="90" customFormat="1" ht="61.2" customHeight="1" x14ac:dyDescent="0.3">
      <c r="A160" s="107" t="s">
        <v>501</v>
      </c>
      <c r="B160" s="91" t="s">
        <v>65</v>
      </c>
      <c r="C160" s="149" t="s">
        <v>502</v>
      </c>
      <c r="D160" s="91" t="s">
        <v>65</v>
      </c>
      <c r="E160" s="91" t="s">
        <v>262</v>
      </c>
      <c r="F160" s="91" t="s">
        <v>65</v>
      </c>
      <c r="G160" s="91" t="s">
        <v>503</v>
      </c>
      <c r="H160" s="89" t="s">
        <v>65</v>
      </c>
      <c r="I160" s="89" t="s">
        <v>65</v>
      </c>
      <c r="J160" s="89" t="s">
        <v>65</v>
      </c>
      <c r="K160" s="89" t="s">
        <v>65</v>
      </c>
      <c r="L160" s="91" t="s">
        <v>67</v>
      </c>
      <c r="M160" s="91" t="s">
        <v>46</v>
      </c>
      <c r="N160" s="96">
        <v>496287877</v>
      </c>
      <c r="O160" s="7">
        <v>0</v>
      </c>
      <c r="P160" s="7">
        <v>0</v>
      </c>
      <c r="Q160" s="91" t="s">
        <v>47</v>
      </c>
      <c r="R160" s="91" t="s">
        <v>48</v>
      </c>
      <c r="S160" s="88" t="s">
        <v>264</v>
      </c>
      <c r="T160" s="89">
        <v>3846666</v>
      </c>
      <c r="U160" s="109" t="s">
        <v>265</v>
      </c>
      <c r="V160" s="91" t="s">
        <v>323</v>
      </c>
      <c r="W160" s="75" t="s">
        <v>503</v>
      </c>
      <c r="X160" s="108" t="s">
        <v>65</v>
      </c>
      <c r="Y160" s="91"/>
      <c r="Z160" s="91"/>
      <c r="AA160" s="91"/>
      <c r="AB160" s="8">
        <f t="shared" si="20"/>
        <v>496287877</v>
      </c>
      <c r="AC160" s="180">
        <v>7221</v>
      </c>
      <c r="AD160" s="181">
        <v>7320000</v>
      </c>
      <c r="AE160" s="181">
        <f t="shared" si="18"/>
        <v>488967877</v>
      </c>
      <c r="AF160" s="275">
        <v>8121</v>
      </c>
      <c r="AG160" s="291">
        <v>44279</v>
      </c>
      <c r="AH160" s="276">
        <v>7320000</v>
      </c>
      <c r="AI160" s="276">
        <f t="shared" si="19"/>
        <v>488967877</v>
      </c>
      <c r="AJ160" s="276" t="s">
        <v>504</v>
      </c>
      <c r="AK160" s="276" t="s">
        <v>505</v>
      </c>
      <c r="AL160" s="184">
        <v>7320000</v>
      </c>
      <c r="AM160" s="91"/>
    </row>
    <row r="161" spans="1:42" s="90" customFormat="1" ht="61.2" customHeight="1" x14ac:dyDescent="0.3">
      <c r="A161" s="95" t="s">
        <v>506</v>
      </c>
      <c r="B161" s="91" t="s">
        <v>65</v>
      </c>
      <c r="C161" s="148" t="s">
        <v>507</v>
      </c>
      <c r="D161" s="91" t="s">
        <v>65</v>
      </c>
      <c r="E161" s="91" t="s">
        <v>144</v>
      </c>
      <c r="F161" s="91" t="s">
        <v>65</v>
      </c>
      <c r="G161" s="88" t="s">
        <v>508</v>
      </c>
      <c r="H161" s="89" t="s">
        <v>65</v>
      </c>
      <c r="I161" s="89" t="s">
        <v>65</v>
      </c>
      <c r="J161" s="89" t="s">
        <v>65</v>
      </c>
      <c r="K161" s="89" t="s">
        <v>65</v>
      </c>
      <c r="L161" s="91" t="s">
        <v>67</v>
      </c>
      <c r="M161" s="91" t="s">
        <v>46</v>
      </c>
      <c r="N161" s="96">
        <v>67000</v>
      </c>
      <c r="O161" s="7">
        <v>0</v>
      </c>
      <c r="P161" s="7">
        <v>0</v>
      </c>
      <c r="Q161" s="91" t="s">
        <v>47</v>
      </c>
      <c r="R161" s="91" t="s">
        <v>48</v>
      </c>
      <c r="S161" s="88" t="s">
        <v>146</v>
      </c>
      <c r="T161" s="89">
        <v>3846666</v>
      </c>
      <c r="U161" s="94" t="s">
        <v>147</v>
      </c>
      <c r="V161" s="91" t="s">
        <v>323</v>
      </c>
      <c r="W161" s="75" t="s">
        <v>509</v>
      </c>
      <c r="X161" s="88" t="s">
        <v>148</v>
      </c>
      <c r="Y161" s="91"/>
      <c r="Z161" s="91"/>
      <c r="AA161" s="91"/>
      <c r="AB161" s="8">
        <f t="shared" si="20"/>
        <v>67000</v>
      </c>
      <c r="AC161" s="180">
        <v>8121</v>
      </c>
      <c r="AD161" s="181">
        <v>61000</v>
      </c>
      <c r="AE161" s="181">
        <f t="shared" si="18"/>
        <v>6000</v>
      </c>
      <c r="AF161" s="275">
        <v>9421</v>
      </c>
      <c r="AG161" s="291">
        <v>44294</v>
      </c>
      <c r="AH161" s="276">
        <v>61000</v>
      </c>
      <c r="AI161" s="276">
        <f t="shared" si="19"/>
        <v>6000</v>
      </c>
      <c r="AJ161" s="275" t="s">
        <v>379</v>
      </c>
      <c r="AK161" s="275" t="s">
        <v>510</v>
      </c>
      <c r="AL161" s="184">
        <v>61000</v>
      </c>
      <c r="AM161" s="91"/>
    </row>
    <row r="162" spans="1:42" s="90" customFormat="1" ht="98.4" customHeight="1" x14ac:dyDescent="0.3">
      <c r="A162" s="95" t="s">
        <v>511</v>
      </c>
      <c r="B162" s="91" t="s">
        <v>65</v>
      </c>
      <c r="C162" s="147" t="s">
        <v>512</v>
      </c>
      <c r="D162" s="91" t="s">
        <v>65</v>
      </c>
      <c r="E162" s="91" t="s">
        <v>144</v>
      </c>
      <c r="F162" s="91" t="s">
        <v>65</v>
      </c>
      <c r="G162" s="88" t="s">
        <v>513</v>
      </c>
      <c r="H162" s="89" t="s">
        <v>65</v>
      </c>
      <c r="I162" s="89" t="s">
        <v>65</v>
      </c>
      <c r="J162" s="89" t="s">
        <v>65</v>
      </c>
      <c r="K162" s="89" t="s">
        <v>65</v>
      </c>
      <c r="L162" s="91" t="s">
        <v>67</v>
      </c>
      <c r="M162" s="91" t="s">
        <v>46</v>
      </c>
      <c r="N162" s="96">
        <v>16480000</v>
      </c>
      <c r="O162" s="7">
        <v>0</v>
      </c>
      <c r="P162" s="7">
        <v>0</v>
      </c>
      <c r="Q162" s="91" t="s">
        <v>47</v>
      </c>
      <c r="R162" s="91" t="s">
        <v>48</v>
      </c>
      <c r="S162" s="88" t="s">
        <v>146</v>
      </c>
      <c r="T162" s="89">
        <v>3846666</v>
      </c>
      <c r="U162" s="94" t="s">
        <v>147</v>
      </c>
      <c r="V162" s="91" t="s">
        <v>323</v>
      </c>
      <c r="W162" s="75" t="s">
        <v>513</v>
      </c>
      <c r="X162" s="88" t="s">
        <v>148</v>
      </c>
      <c r="Y162" s="91"/>
      <c r="Z162" s="91"/>
      <c r="AA162" s="91"/>
      <c r="AB162" s="8">
        <f t="shared" si="20"/>
        <v>16480000</v>
      </c>
      <c r="AC162" s="248"/>
      <c r="AD162" s="249"/>
      <c r="AE162" s="249">
        <f t="shared" si="18"/>
        <v>16480000</v>
      </c>
      <c r="AF162" s="248"/>
      <c r="AG162" s="248"/>
      <c r="AH162" s="249"/>
      <c r="AI162" s="249">
        <f t="shared" si="19"/>
        <v>16480000</v>
      </c>
      <c r="AJ162" s="248"/>
      <c r="AK162" s="248"/>
      <c r="AL162" s="249"/>
      <c r="AM162" s="91"/>
    </row>
    <row r="163" spans="1:42" s="90" customFormat="1" ht="87.6" customHeight="1" x14ac:dyDescent="0.3">
      <c r="A163" s="95" t="s">
        <v>514</v>
      </c>
      <c r="B163" s="91" t="s">
        <v>65</v>
      </c>
      <c r="C163" s="146" t="s">
        <v>515</v>
      </c>
      <c r="D163" s="91" t="s">
        <v>65</v>
      </c>
      <c r="E163" s="91" t="s">
        <v>144</v>
      </c>
      <c r="F163" s="91">
        <v>72153501</v>
      </c>
      <c r="G163" s="88" t="s">
        <v>516</v>
      </c>
      <c r="H163" s="89" t="s">
        <v>65</v>
      </c>
      <c r="I163" s="89" t="s">
        <v>65</v>
      </c>
      <c r="J163" s="89" t="s">
        <v>65</v>
      </c>
      <c r="K163" s="89" t="s">
        <v>65</v>
      </c>
      <c r="L163" s="91" t="s">
        <v>67</v>
      </c>
      <c r="M163" s="91" t="s">
        <v>121</v>
      </c>
      <c r="N163" s="96">
        <v>0</v>
      </c>
      <c r="O163" s="7">
        <v>0</v>
      </c>
      <c r="P163" s="7">
        <v>0</v>
      </c>
      <c r="Q163" s="91" t="s">
        <v>47</v>
      </c>
      <c r="R163" s="91" t="s">
        <v>48</v>
      </c>
      <c r="S163" s="88" t="s">
        <v>146</v>
      </c>
      <c r="T163" s="89">
        <v>3846666</v>
      </c>
      <c r="U163" s="94" t="s">
        <v>147</v>
      </c>
      <c r="V163" s="91" t="s">
        <v>323</v>
      </c>
      <c r="W163" s="75" t="s">
        <v>517</v>
      </c>
      <c r="X163" s="88" t="s">
        <v>148</v>
      </c>
      <c r="Y163" s="253">
        <v>2354133</v>
      </c>
      <c r="Z163" s="91"/>
      <c r="AA163" s="179"/>
      <c r="AB163" s="8">
        <f t="shared" si="20"/>
        <v>2354133</v>
      </c>
      <c r="AC163" s="180">
        <v>9421</v>
      </c>
      <c r="AD163" s="181">
        <v>2354133</v>
      </c>
      <c r="AE163" s="181">
        <f t="shared" si="18"/>
        <v>0</v>
      </c>
      <c r="AF163" s="275">
        <v>10921</v>
      </c>
      <c r="AG163" s="291">
        <v>44329</v>
      </c>
      <c r="AH163" s="276">
        <v>2354133</v>
      </c>
      <c r="AI163" s="276">
        <f t="shared" si="19"/>
        <v>0</v>
      </c>
      <c r="AJ163" s="275" t="s">
        <v>379</v>
      </c>
      <c r="AK163" s="275" t="s">
        <v>518</v>
      </c>
      <c r="AL163" s="184">
        <v>2354133</v>
      </c>
      <c r="AM163" s="91" t="s">
        <v>129</v>
      </c>
    </row>
    <row r="164" spans="1:42" s="90" customFormat="1" ht="68.400000000000006" customHeight="1" x14ac:dyDescent="0.3">
      <c r="A164" s="95" t="s">
        <v>514</v>
      </c>
      <c r="B164" s="91" t="s">
        <v>65</v>
      </c>
      <c r="C164" s="146" t="s">
        <v>515</v>
      </c>
      <c r="D164" s="91" t="s">
        <v>65</v>
      </c>
      <c r="E164" s="91" t="s">
        <v>144</v>
      </c>
      <c r="F164" s="91" t="s">
        <v>65</v>
      </c>
      <c r="G164" s="88" t="s">
        <v>516</v>
      </c>
      <c r="H164" s="89" t="s">
        <v>65</v>
      </c>
      <c r="I164" s="89" t="s">
        <v>65</v>
      </c>
      <c r="J164" s="89" t="s">
        <v>65</v>
      </c>
      <c r="K164" s="89" t="s">
        <v>65</v>
      </c>
      <c r="L164" s="91" t="s">
        <v>67</v>
      </c>
      <c r="M164" s="91" t="s">
        <v>46</v>
      </c>
      <c r="N164" s="96">
        <f>20157100-67000</f>
        <v>20090100</v>
      </c>
      <c r="O164" s="7">
        <v>0</v>
      </c>
      <c r="P164" s="7">
        <v>0</v>
      </c>
      <c r="Q164" s="91" t="s">
        <v>47</v>
      </c>
      <c r="R164" s="91" t="s">
        <v>48</v>
      </c>
      <c r="S164" s="88" t="s">
        <v>146</v>
      </c>
      <c r="T164" s="89">
        <v>3846666</v>
      </c>
      <c r="U164" s="94" t="s">
        <v>147</v>
      </c>
      <c r="V164" s="91" t="s">
        <v>323</v>
      </c>
      <c r="W164" s="75" t="s">
        <v>517</v>
      </c>
      <c r="X164" s="88" t="s">
        <v>148</v>
      </c>
      <c r="Y164" s="91"/>
      <c r="Z164" s="91"/>
      <c r="AA164" s="91"/>
      <c r="AB164" s="8">
        <f t="shared" si="20"/>
        <v>20090100</v>
      </c>
      <c r="AC164" s="180" t="s">
        <v>519</v>
      </c>
      <c r="AD164" s="181">
        <f>374233+15496000+4219867</f>
        <v>20090100</v>
      </c>
      <c r="AE164" s="181">
        <f t="shared" si="18"/>
        <v>0</v>
      </c>
      <c r="AF164" s="275" t="s">
        <v>520</v>
      </c>
      <c r="AG164" s="291" t="s">
        <v>521</v>
      </c>
      <c r="AH164" s="276">
        <f>374233+15496000+4219867</f>
        <v>20090100</v>
      </c>
      <c r="AI164" s="276">
        <f t="shared" si="19"/>
        <v>0</v>
      </c>
      <c r="AJ164" s="275" t="s">
        <v>379</v>
      </c>
      <c r="AK164" s="275" t="s">
        <v>510</v>
      </c>
      <c r="AL164" s="184">
        <f>374233+15496000+4219867</f>
        <v>20090100</v>
      </c>
      <c r="AM164" s="91"/>
    </row>
    <row r="165" spans="1:42" ht="64.95" hidden="1" customHeight="1" x14ac:dyDescent="0.3">
      <c r="N165" s="159">
        <f>SUBTOTAL(9,N3:N164)</f>
        <v>3113314677</v>
      </c>
      <c r="AA165" s="5"/>
      <c r="AH165" s="183"/>
      <c r="AI165" s="183"/>
    </row>
    <row r="166" spans="1:42" s="183" customFormat="1" ht="46.95" hidden="1" customHeight="1" x14ac:dyDescent="0.3">
      <c r="B166" s="5"/>
      <c r="D166" s="5"/>
      <c r="E166" s="5"/>
      <c r="F166" s="5"/>
      <c r="H166" s="5"/>
      <c r="I166" s="5"/>
      <c r="J166" s="5"/>
      <c r="K166" s="5"/>
      <c r="L166" s="5"/>
      <c r="M166" s="5"/>
      <c r="N166" s="5"/>
      <c r="O166" s="5"/>
      <c r="P166" s="5"/>
      <c r="Q166" s="5"/>
      <c r="R166" s="5"/>
      <c r="S166" s="90"/>
      <c r="T166" s="90"/>
      <c r="U166" s="5"/>
      <c r="V166" s="5"/>
      <c r="W166" s="5"/>
      <c r="X166" s="5"/>
      <c r="Y166" s="5"/>
      <c r="Z166" s="5"/>
      <c r="AA166" s="5"/>
      <c r="AB166" s="6"/>
    </row>
    <row r="167" spans="1:42" ht="43.2" hidden="1" customHeight="1" x14ac:dyDescent="0.3">
      <c r="AA167" s="5"/>
    </row>
    <row r="168" spans="1:42" ht="72" hidden="1" customHeight="1" x14ac:dyDescent="0.3">
      <c r="AA168" s="5"/>
      <c r="AD168" s="227"/>
    </row>
    <row r="169" spans="1:42" ht="37.5" hidden="1" customHeight="1" x14ac:dyDescent="0.3">
      <c r="A169" s="90"/>
      <c r="AD169" s="273"/>
      <c r="AE169" s="283"/>
      <c r="AF169" s="287"/>
      <c r="AG169" s="5" t="s">
        <v>522</v>
      </c>
    </row>
    <row r="170" spans="1:42" s="9" customFormat="1" ht="37.5" hidden="1" customHeight="1" x14ac:dyDescent="0.3">
      <c r="A170" s="281"/>
      <c r="D170" s="5"/>
      <c r="E170" s="5"/>
      <c r="F170" s="5"/>
      <c r="H170" s="5"/>
      <c r="I170" s="5"/>
      <c r="J170" s="5"/>
      <c r="K170" s="5"/>
      <c r="L170" s="5"/>
      <c r="N170" s="5"/>
      <c r="O170" s="5"/>
      <c r="P170" s="5"/>
      <c r="Q170" s="5"/>
      <c r="R170" s="5"/>
      <c r="S170" s="90"/>
      <c r="T170" s="90"/>
      <c r="U170" s="5"/>
      <c r="V170" s="5"/>
      <c r="X170" s="5"/>
      <c r="Y170" s="5"/>
      <c r="Z170" s="5"/>
      <c r="AA170" s="254"/>
      <c r="AB170" s="284"/>
      <c r="AC170" s="284"/>
      <c r="AD170" s="284"/>
      <c r="AE170" s="284"/>
      <c r="AF170" s="284"/>
      <c r="AG170" s="284"/>
      <c r="AH170" s="284"/>
      <c r="AI170" s="284"/>
      <c r="AJ170" s="284"/>
      <c r="AK170" s="284"/>
      <c r="AL170" s="284"/>
      <c r="AM170" s="284"/>
      <c r="AN170" s="284"/>
      <c r="AO170" s="284"/>
      <c r="AP170" s="284"/>
    </row>
    <row r="171" spans="1:42" ht="37.5" hidden="1" customHeight="1" x14ac:dyDescent="0.3">
      <c r="A171" s="90"/>
      <c r="AD171" s="273"/>
      <c r="AE171" s="90"/>
      <c r="AH171" s="287"/>
    </row>
    <row r="172" spans="1:42" ht="37.5" hidden="1" customHeight="1" x14ac:dyDescent="0.3">
      <c r="A172" s="90"/>
      <c r="R172" s="90"/>
      <c r="T172" s="5"/>
      <c r="AD172" s="288"/>
      <c r="AE172" s="283"/>
      <c r="AH172" s="288"/>
      <c r="AI172" s="227"/>
      <c r="AJ172" s="227"/>
      <c r="AK172" s="227"/>
      <c r="AL172" s="288"/>
    </row>
    <row r="173" spans="1:42" ht="37.5" hidden="1" customHeight="1" x14ac:dyDescent="0.3">
      <c r="A173" s="90"/>
      <c r="AE173" s="265"/>
    </row>
    <row r="174" spans="1:42" ht="37.5" hidden="1" customHeight="1" x14ac:dyDescent="0.3">
      <c r="A174" s="90"/>
    </row>
    <row r="175" spans="1:42" ht="37.5" hidden="1" customHeight="1" x14ac:dyDescent="0.3">
      <c r="A175" s="90"/>
      <c r="N175" s="6"/>
    </row>
    <row r="176" spans="1:42" ht="37.5" hidden="1" customHeight="1" x14ac:dyDescent="0.3">
      <c r="A176" s="90"/>
    </row>
    <row r="177" spans="1:1" ht="37.5" hidden="1" customHeight="1" x14ac:dyDescent="0.3">
      <c r="A177" s="90"/>
    </row>
    <row r="178" spans="1:1" ht="37.5" hidden="1" customHeight="1" x14ac:dyDescent="0.3">
      <c r="A178" s="90"/>
    </row>
  </sheetData>
  <autoFilter ref="A2:AO168" xr:uid="{00000000-0009-0000-0000-000000000000}"/>
  <mergeCells count="1">
    <mergeCell ref="A1:X1"/>
  </mergeCells>
  <conditionalFormatting sqref="D70">
    <cfRule type="duplicateValues" dxfId="71" priority="32"/>
  </conditionalFormatting>
  <conditionalFormatting sqref="D70">
    <cfRule type="duplicateValues" dxfId="70" priority="33"/>
  </conditionalFormatting>
  <conditionalFormatting sqref="G71:G72">
    <cfRule type="duplicateValues" dxfId="69" priority="30"/>
  </conditionalFormatting>
  <conditionalFormatting sqref="G71:G72">
    <cfRule type="duplicateValues" dxfId="68" priority="31"/>
  </conditionalFormatting>
  <conditionalFormatting sqref="D73">
    <cfRule type="duplicateValues" dxfId="67" priority="26"/>
  </conditionalFormatting>
  <conditionalFormatting sqref="D73">
    <cfRule type="duplicateValues" dxfId="66" priority="27"/>
  </conditionalFormatting>
  <conditionalFormatting sqref="G76">
    <cfRule type="duplicateValues" dxfId="65" priority="22"/>
  </conditionalFormatting>
  <conditionalFormatting sqref="G76">
    <cfRule type="duplicateValues" dxfId="64" priority="23"/>
  </conditionalFormatting>
  <conditionalFormatting sqref="G74:G75 G77 G79 G88:G92 G81:G86">
    <cfRule type="duplicateValues" dxfId="63" priority="34"/>
  </conditionalFormatting>
  <conditionalFormatting sqref="G74:G75 G77 G79 G88:G92 G81:G86">
    <cfRule type="duplicateValues" dxfId="62" priority="37"/>
  </conditionalFormatting>
  <conditionalFormatting sqref="A160">
    <cfRule type="duplicateValues" dxfId="61" priority="21"/>
  </conditionalFormatting>
  <conditionalFormatting sqref="C95:C96">
    <cfRule type="duplicateValues" dxfId="60" priority="18"/>
  </conditionalFormatting>
  <conditionalFormatting sqref="G160">
    <cfRule type="duplicateValues" dxfId="59" priority="15"/>
  </conditionalFormatting>
  <conditionalFormatting sqref="C158 C160:C162 C164">
    <cfRule type="duplicateValues" dxfId="58" priority="38"/>
  </conditionalFormatting>
  <conditionalFormatting sqref="G78">
    <cfRule type="duplicateValues" dxfId="57" priority="13"/>
  </conditionalFormatting>
  <conditionalFormatting sqref="G78">
    <cfRule type="duplicateValues" dxfId="56" priority="14"/>
  </conditionalFormatting>
  <conditionalFormatting sqref="G87">
    <cfRule type="duplicateValues" dxfId="55" priority="11"/>
  </conditionalFormatting>
  <conditionalFormatting sqref="G87">
    <cfRule type="duplicateValues" dxfId="54" priority="12"/>
  </conditionalFormatting>
  <conditionalFormatting sqref="G80">
    <cfRule type="duplicateValues" dxfId="53" priority="9"/>
  </conditionalFormatting>
  <conditionalFormatting sqref="G80">
    <cfRule type="duplicateValues" dxfId="52" priority="10"/>
  </conditionalFormatting>
  <conditionalFormatting sqref="C163">
    <cfRule type="duplicateValues" dxfId="51" priority="7"/>
  </conditionalFormatting>
  <conditionalFormatting sqref="D71:D72">
    <cfRule type="duplicateValues" dxfId="50" priority="1"/>
  </conditionalFormatting>
  <conditionalFormatting sqref="D71:D72">
    <cfRule type="duplicateValues" dxfId="49" priority="2"/>
  </conditionalFormatting>
  <dataValidations count="6">
    <dataValidation type="list" allowBlank="1" showInputMessage="1" showErrorMessage="1" sqref="D64:D67" xr:uid="{00000000-0002-0000-0000-000000000000}">
      <formula1>META</formula1>
    </dataValidation>
    <dataValidation type="list" allowBlank="1" showInputMessage="1" showErrorMessage="1" sqref="W64 W156:W158 W81:W84 W88:W94 W113:W154 W160:W164 W66:W76" xr:uid="{00000000-0002-0000-0000-000001000000}">
      <formula1>gasto</formula1>
    </dataValidation>
    <dataValidation type="list" allowBlank="1" showInputMessage="1" showErrorMessage="1" sqref="D70:D73" xr:uid="{00000000-0002-0000-0000-000002000000}">
      <formula1>metas</formula1>
    </dataValidation>
    <dataValidation type="list" allowBlank="1" showInputMessage="1" showErrorMessage="1" sqref="L152 L81:L82 L159:L164 L114:L132 L135:L138 L147 L71:L75" xr:uid="{00000000-0002-0000-0000-000003000000}">
      <formula1>M</formula1>
    </dataValidation>
    <dataValidation type="list" allowBlank="1" showInputMessage="1" showErrorMessage="1" sqref="C74:C94" xr:uid="{00000000-0002-0000-0000-000004000000}">
      <formula1>CPA</formula1>
    </dataValidation>
    <dataValidation type="list" allowBlank="1" showInputMessage="1" showErrorMessage="1" sqref="B64:B164" xr:uid="{00000000-0002-0000-0000-000005000000}">
      <formula1>PROYECTO</formula1>
    </dataValidation>
  </dataValidations>
  <hyperlinks>
    <hyperlink ref="U3" r:id="rId1" xr:uid="{00000000-0004-0000-0000-000000000000}"/>
    <hyperlink ref="U4:U63" r:id="rId2" display="subdireccion@inci.gov.co" xr:uid="{00000000-0004-0000-0000-000001000000}"/>
    <hyperlink ref="U42" r:id="rId3" xr:uid="{00000000-0004-0000-0000-000002000000}"/>
    <hyperlink ref="U61" r:id="rId4" xr:uid="{00000000-0004-0000-0000-000003000000}"/>
    <hyperlink ref="U64" r:id="rId5" xr:uid="{00000000-0004-0000-0000-000004000000}"/>
    <hyperlink ref="U65" r:id="rId6" xr:uid="{00000000-0004-0000-0000-000005000000}"/>
    <hyperlink ref="U66" r:id="rId7" xr:uid="{00000000-0004-0000-0000-000006000000}"/>
    <hyperlink ref="U67" r:id="rId8" xr:uid="{00000000-0004-0000-0000-000007000000}"/>
    <hyperlink ref="U68" r:id="rId9" xr:uid="{00000000-0004-0000-0000-000008000000}"/>
    <hyperlink ref="U69" r:id="rId10" xr:uid="{00000000-0004-0000-0000-000009000000}"/>
    <hyperlink ref="U70" r:id="rId11" xr:uid="{00000000-0004-0000-0000-00000A000000}"/>
    <hyperlink ref="U71" r:id="rId12" xr:uid="{00000000-0004-0000-0000-00000B000000}"/>
    <hyperlink ref="U73" r:id="rId13" xr:uid="{00000000-0004-0000-0000-00000C000000}"/>
    <hyperlink ref="U74" r:id="rId14" xr:uid="{00000000-0004-0000-0000-00000D000000}"/>
    <hyperlink ref="U75" r:id="rId15" xr:uid="{00000000-0004-0000-0000-00000E000000}"/>
    <hyperlink ref="U76" r:id="rId16" xr:uid="{00000000-0004-0000-0000-00000F000000}"/>
    <hyperlink ref="U77" r:id="rId17" xr:uid="{00000000-0004-0000-0000-000010000000}"/>
    <hyperlink ref="U79" r:id="rId18" xr:uid="{00000000-0004-0000-0000-000011000000}"/>
    <hyperlink ref="U81" r:id="rId19" xr:uid="{00000000-0004-0000-0000-000012000000}"/>
    <hyperlink ref="U82" r:id="rId20" xr:uid="{00000000-0004-0000-0000-000013000000}"/>
    <hyperlink ref="U83" r:id="rId21" xr:uid="{00000000-0004-0000-0000-000014000000}"/>
    <hyperlink ref="U84" r:id="rId22" xr:uid="{00000000-0004-0000-0000-000015000000}"/>
    <hyperlink ref="U85" r:id="rId23" xr:uid="{00000000-0004-0000-0000-000016000000}"/>
    <hyperlink ref="U86" r:id="rId24" xr:uid="{00000000-0004-0000-0000-000017000000}"/>
    <hyperlink ref="U88" r:id="rId25" xr:uid="{00000000-0004-0000-0000-000018000000}"/>
    <hyperlink ref="U89" r:id="rId26" xr:uid="{00000000-0004-0000-0000-000019000000}"/>
    <hyperlink ref="U90" r:id="rId27" xr:uid="{00000000-0004-0000-0000-00001A000000}"/>
    <hyperlink ref="U91" r:id="rId28" xr:uid="{00000000-0004-0000-0000-00001B000000}"/>
    <hyperlink ref="U92" r:id="rId29" xr:uid="{00000000-0004-0000-0000-00001C000000}"/>
    <hyperlink ref="U93" r:id="rId30" xr:uid="{00000000-0004-0000-0000-00001D000000}"/>
    <hyperlink ref="U94" r:id="rId31" xr:uid="{00000000-0004-0000-0000-00001E000000}"/>
    <hyperlink ref="U130" r:id="rId32" xr:uid="{00000000-0004-0000-0000-00001F000000}"/>
    <hyperlink ref="U131" r:id="rId33" xr:uid="{00000000-0004-0000-0000-000020000000}"/>
    <hyperlink ref="U149" r:id="rId34" xr:uid="{00000000-0004-0000-0000-000021000000}"/>
    <hyperlink ref="U150" r:id="rId35" xr:uid="{00000000-0004-0000-0000-000022000000}"/>
    <hyperlink ref="U151" r:id="rId36" xr:uid="{00000000-0004-0000-0000-000023000000}"/>
    <hyperlink ref="U100" r:id="rId37" xr:uid="{00000000-0004-0000-0000-000024000000}"/>
    <hyperlink ref="U155" r:id="rId38" xr:uid="{00000000-0004-0000-0000-000025000000}"/>
    <hyperlink ref="U133" r:id="rId39" xr:uid="{00000000-0004-0000-0000-000026000000}"/>
    <hyperlink ref="U113" r:id="rId40" xr:uid="{00000000-0004-0000-0000-000027000000}"/>
    <hyperlink ref="U160" r:id="rId41" xr:uid="{00000000-0004-0000-0000-000028000000}"/>
    <hyperlink ref="U35" r:id="rId42" xr:uid="{00000000-0004-0000-0000-000029000000}"/>
    <hyperlink ref="U55" r:id="rId43" xr:uid="{00000000-0004-0000-0000-00002A000000}"/>
    <hyperlink ref="U47" r:id="rId44" xr:uid="{00000000-0004-0000-0000-00002B000000}"/>
    <hyperlink ref="U78" r:id="rId45" xr:uid="{00000000-0004-0000-0000-00002C000000}"/>
    <hyperlink ref="U87" r:id="rId46" xr:uid="{00000000-0004-0000-0000-00002D000000}"/>
    <hyperlink ref="U80" r:id="rId47" xr:uid="{00000000-0004-0000-0000-00002E000000}"/>
    <hyperlink ref="U101" r:id="rId48" xr:uid="{00000000-0004-0000-0000-00002F000000}"/>
    <hyperlink ref="U134" r:id="rId49" xr:uid="{00000000-0004-0000-0000-000030000000}"/>
    <hyperlink ref="U52" r:id="rId50" xr:uid="{00000000-0004-0000-0000-000031000000}"/>
    <hyperlink ref="U53" r:id="rId51" xr:uid="{00000000-0004-0000-0000-000032000000}"/>
    <hyperlink ref="U18" r:id="rId52" xr:uid="{00000000-0004-0000-0000-000033000000}"/>
    <hyperlink ref="U24" r:id="rId53" xr:uid="{00000000-0004-0000-0000-000034000000}"/>
    <hyperlink ref="U25" r:id="rId54" xr:uid="{00000000-0004-0000-0000-000035000000}"/>
    <hyperlink ref="U26" r:id="rId55" xr:uid="{00000000-0004-0000-0000-000036000000}"/>
    <hyperlink ref="U32" r:id="rId56" xr:uid="{00000000-0004-0000-0000-000037000000}"/>
    <hyperlink ref="U33" r:id="rId57" xr:uid="{00000000-0004-0000-0000-000038000000}"/>
    <hyperlink ref="U72" r:id="rId58" xr:uid="{00000000-0004-0000-0000-000039000000}"/>
    <hyperlink ref="U6" r:id="rId59" xr:uid="{00000000-0004-0000-0000-00003A000000}"/>
  </hyperlinks>
  <pageMargins left="0.7" right="0.7" top="0.75" bottom="0.75" header="0.3" footer="0.3"/>
  <pageSetup orientation="portrait" r:id="rId60"/>
  <legacyDrawing r:id="rId6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72"/>
  <sheetViews>
    <sheetView zoomScale="70" zoomScaleNormal="70" workbookViewId="0">
      <selection activeCell="C5" sqref="C5"/>
    </sheetView>
  </sheetViews>
  <sheetFormatPr baseColWidth="10" defaultColWidth="11.44140625" defaultRowHeight="73.5" customHeight="1" x14ac:dyDescent="0.3"/>
  <cols>
    <col min="1" max="1" width="37.6640625" style="3" customWidth="1"/>
    <col min="2" max="2" width="32.88671875" style="3" customWidth="1"/>
    <col min="3" max="3" width="45.44140625" customWidth="1"/>
    <col min="4" max="4" width="16" customWidth="1"/>
    <col min="5" max="5" width="32.6640625" customWidth="1"/>
    <col min="6" max="6" width="24.44140625" customWidth="1"/>
    <col min="7" max="7" width="24.6640625" customWidth="1"/>
    <col min="8" max="8" width="44.6640625" customWidth="1"/>
    <col min="9" max="9" width="10.5546875" customWidth="1"/>
    <col min="10" max="10" width="15.6640625" customWidth="1"/>
    <col min="11" max="11" width="14.44140625" customWidth="1"/>
    <col min="12" max="12" width="15.109375" customWidth="1"/>
    <col min="13" max="13" width="18.88671875" customWidth="1"/>
    <col min="14" max="14" width="9.109375" customWidth="1"/>
    <col min="15" max="15" width="16.6640625" customWidth="1"/>
    <col min="16" max="16" width="18.5546875" customWidth="1"/>
    <col min="17" max="17" width="7.5546875" customWidth="1"/>
    <col min="18" max="18" width="16.109375" customWidth="1"/>
    <col min="19" max="19" width="22.88671875" customWidth="1"/>
    <col min="20" max="21" width="21.88671875" customWidth="1"/>
    <col min="22" max="22" width="59.109375" customWidth="1"/>
  </cols>
  <sheetData>
    <row r="1" spans="1:22" ht="19.5" customHeight="1" x14ac:dyDescent="0.3"/>
    <row r="2" spans="1:22" ht="30" customHeight="1" x14ac:dyDescent="0.3"/>
    <row r="3" spans="1:22" s="52" customFormat="1" ht="73.5" customHeight="1" x14ac:dyDescent="0.3">
      <c r="A3" s="230" t="s">
        <v>0</v>
      </c>
      <c r="B3" s="230" t="s">
        <v>523</v>
      </c>
      <c r="C3" s="231" t="s">
        <v>1</v>
      </c>
      <c r="D3" s="231" t="s">
        <v>2</v>
      </c>
      <c r="E3" s="232" t="s">
        <v>3</v>
      </c>
      <c r="F3" s="231" t="s">
        <v>4</v>
      </c>
      <c r="G3" s="233" t="s">
        <v>5</v>
      </c>
      <c r="H3" s="233" t="s">
        <v>6</v>
      </c>
      <c r="I3" s="233" t="s">
        <v>12</v>
      </c>
      <c r="J3" s="233" t="s">
        <v>18</v>
      </c>
      <c r="K3" s="234" t="s">
        <v>22</v>
      </c>
      <c r="L3" s="234" t="s">
        <v>23</v>
      </c>
      <c r="M3" s="235" t="s">
        <v>524</v>
      </c>
      <c r="N3" s="236" t="s">
        <v>31</v>
      </c>
      <c r="O3" s="237" t="s">
        <v>32</v>
      </c>
      <c r="P3" s="238" t="s">
        <v>33</v>
      </c>
      <c r="Q3" s="238" t="s">
        <v>34</v>
      </c>
      <c r="R3" s="236" t="s">
        <v>35</v>
      </c>
      <c r="S3" s="236" t="s">
        <v>36</v>
      </c>
      <c r="T3" s="238" t="s">
        <v>525</v>
      </c>
      <c r="U3" s="238" t="s">
        <v>526</v>
      </c>
      <c r="V3" s="239" t="s">
        <v>38</v>
      </c>
    </row>
    <row r="4" spans="1:22" s="198" customFormat="1" ht="81" customHeight="1" x14ac:dyDescent="0.3">
      <c r="A4" s="188" t="s">
        <v>99</v>
      </c>
      <c r="B4" s="188" t="s">
        <v>527</v>
      </c>
      <c r="C4" s="62" t="s">
        <v>40</v>
      </c>
      <c r="D4" s="188" t="s">
        <v>100</v>
      </c>
      <c r="E4" s="196" t="s">
        <v>160</v>
      </c>
      <c r="F4" s="196" t="s">
        <v>528</v>
      </c>
      <c r="G4" s="202" t="s">
        <v>529</v>
      </c>
      <c r="H4" s="222" t="s">
        <v>530</v>
      </c>
      <c r="I4" s="193" t="s">
        <v>531</v>
      </c>
      <c r="J4" s="193" t="s">
        <v>532</v>
      </c>
      <c r="K4" s="188" t="s">
        <v>199</v>
      </c>
      <c r="L4" s="196" t="s">
        <v>163</v>
      </c>
      <c r="M4" s="199">
        <v>16065000</v>
      </c>
      <c r="N4" s="188">
        <v>22120</v>
      </c>
      <c r="O4" s="201">
        <v>44123</v>
      </c>
      <c r="P4" s="199">
        <v>16065000</v>
      </c>
      <c r="Q4" s="199">
        <f t="shared" ref="Q4:Q42" si="0">+M4-P4</f>
        <v>0</v>
      </c>
      <c r="R4" s="196" t="s">
        <v>533</v>
      </c>
      <c r="S4" s="196" t="s">
        <v>534</v>
      </c>
      <c r="T4" s="199">
        <v>16065000</v>
      </c>
      <c r="U4" s="199">
        <f t="shared" ref="U4:U41" si="1">+P4-T4</f>
        <v>0</v>
      </c>
      <c r="V4" s="223"/>
    </row>
    <row r="5" spans="1:22" s="198" customFormat="1" ht="75" x14ac:dyDescent="0.3">
      <c r="A5" s="188" t="s">
        <v>99</v>
      </c>
      <c r="B5" s="188" t="s">
        <v>527</v>
      </c>
      <c r="C5" s="62" t="s">
        <v>40</v>
      </c>
      <c r="D5" s="188" t="s">
        <v>100</v>
      </c>
      <c r="E5" s="196" t="s">
        <v>160</v>
      </c>
      <c r="F5" s="196" t="s">
        <v>528</v>
      </c>
      <c r="G5" s="202" t="s">
        <v>535</v>
      </c>
      <c r="H5" s="193" t="s">
        <v>193</v>
      </c>
      <c r="I5" s="193" t="s">
        <v>531</v>
      </c>
      <c r="J5" s="193" t="s">
        <v>532</v>
      </c>
      <c r="K5" s="188" t="s">
        <v>86</v>
      </c>
      <c r="L5" s="196" t="s">
        <v>163</v>
      </c>
      <c r="M5" s="199">
        <v>4360109</v>
      </c>
      <c r="N5" s="188">
        <v>25120</v>
      </c>
      <c r="O5" s="201">
        <v>44147</v>
      </c>
      <c r="P5" s="199">
        <v>4360109</v>
      </c>
      <c r="Q5" s="199">
        <f t="shared" si="0"/>
        <v>0</v>
      </c>
      <c r="R5" s="196" t="s">
        <v>536</v>
      </c>
      <c r="S5" s="196" t="s">
        <v>537</v>
      </c>
      <c r="T5" s="199">
        <v>4360109</v>
      </c>
      <c r="U5" s="199">
        <f t="shared" si="1"/>
        <v>0</v>
      </c>
      <c r="V5" s="223"/>
    </row>
    <row r="6" spans="1:22" s="198" customFormat="1" ht="90" x14ac:dyDescent="0.3">
      <c r="A6" s="188" t="s">
        <v>99</v>
      </c>
      <c r="B6" s="188" t="s">
        <v>527</v>
      </c>
      <c r="C6" s="62" t="s">
        <v>40</v>
      </c>
      <c r="D6" s="188" t="s">
        <v>100</v>
      </c>
      <c r="E6" s="196" t="s">
        <v>160</v>
      </c>
      <c r="F6" s="196" t="s">
        <v>528</v>
      </c>
      <c r="G6" s="202" t="s">
        <v>538</v>
      </c>
      <c r="H6" s="193" t="s">
        <v>539</v>
      </c>
      <c r="I6" s="193" t="s">
        <v>531</v>
      </c>
      <c r="J6" s="193" t="s">
        <v>532</v>
      </c>
      <c r="K6" s="196" t="s">
        <v>347</v>
      </c>
      <c r="L6" s="196" t="s">
        <v>163</v>
      </c>
      <c r="M6" s="199">
        <v>21190841</v>
      </c>
      <c r="N6" s="188">
        <v>26720</v>
      </c>
      <c r="O6" s="207">
        <v>44166</v>
      </c>
      <c r="P6" s="199">
        <v>21190841</v>
      </c>
      <c r="Q6" s="199">
        <f t="shared" si="0"/>
        <v>0</v>
      </c>
      <c r="R6" s="196" t="s">
        <v>540</v>
      </c>
      <c r="S6" s="196" t="s">
        <v>541</v>
      </c>
      <c r="T6" s="199">
        <v>21190841</v>
      </c>
      <c r="U6" s="199">
        <f t="shared" si="1"/>
        <v>0</v>
      </c>
      <c r="V6" s="223"/>
    </row>
    <row r="7" spans="1:22" s="198" customFormat="1" ht="105" x14ac:dyDescent="0.3">
      <c r="A7" s="188" t="s">
        <v>99</v>
      </c>
      <c r="B7" s="196" t="s">
        <v>542</v>
      </c>
      <c r="C7" s="62" t="s">
        <v>40</v>
      </c>
      <c r="D7" s="188" t="s">
        <v>100</v>
      </c>
      <c r="E7" s="196" t="s">
        <v>160</v>
      </c>
      <c r="F7" s="196" t="s">
        <v>528</v>
      </c>
      <c r="G7" s="202" t="s">
        <v>543</v>
      </c>
      <c r="H7" s="193" t="s">
        <v>544</v>
      </c>
      <c r="I7" s="193" t="s">
        <v>531</v>
      </c>
      <c r="J7" s="193" t="s">
        <v>532</v>
      </c>
      <c r="K7" s="188" t="s">
        <v>86</v>
      </c>
      <c r="L7" s="196" t="s">
        <v>163</v>
      </c>
      <c r="M7" s="199">
        <v>6694467</v>
      </c>
      <c r="N7" s="188">
        <v>23620</v>
      </c>
      <c r="O7" s="201">
        <v>44138</v>
      </c>
      <c r="P7" s="199">
        <v>6694467</v>
      </c>
      <c r="Q7" s="199">
        <f t="shared" si="0"/>
        <v>0</v>
      </c>
      <c r="R7" s="196" t="s">
        <v>545</v>
      </c>
      <c r="S7" s="196" t="s">
        <v>546</v>
      </c>
      <c r="T7" s="199">
        <v>3507345</v>
      </c>
      <c r="U7" s="199">
        <f t="shared" si="1"/>
        <v>3187122</v>
      </c>
      <c r="V7" s="225" t="s">
        <v>547</v>
      </c>
    </row>
    <row r="8" spans="1:22" s="198" customFormat="1" ht="90" x14ac:dyDescent="0.3">
      <c r="A8" s="188" t="s">
        <v>39</v>
      </c>
      <c r="B8" s="194" t="s">
        <v>548</v>
      </c>
      <c r="C8" s="62" t="s">
        <v>40</v>
      </c>
      <c r="D8" s="188" t="s">
        <v>41</v>
      </c>
      <c r="E8" s="196" t="s">
        <v>42</v>
      </c>
      <c r="F8" s="196" t="s">
        <v>549</v>
      </c>
      <c r="G8" s="211" t="s">
        <v>550</v>
      </c>
      <c r="H8" s="197" t="s">
        <v>551</v>
      </c>
      <c r="I8" s="197" t="s">
        <v>531</v>
      </c>
      <c r="J8" s="197" t="s">
        <v>532</v>
      </c>
      <c r="K8" s="205" t="s">
        <v>86</v>
      </c>
      <c r="L8" s="196" t="s">
        <v>49</v>
      </c>
      <c r="M8" s="199">
        <v>14800000</v>
      </c>
      <c r="N8" s="188">
        <v>18220</v>
      </c>
      <c r="O8" s="201">
        <v>44061</v>
      </c>
      <c r="P8" s="199">
        <v>14800000</v>
      </c>
      <c r="Q8" s="199">
        <f t="shared" si="0"/>
        <v>0</v>
      </c>
      <c r="R8" s="196" t="s">
        <v>552</v>
      </c>
      <c r="S8" s="196" t="s">
        <v>553</v>
      </c>
      <c r="T8" s="199">
        <v>14800000</v>
      </c>
      <c r="U8" s="199">
        <f t="shared" si="1"/>
        <v>0</v>
      </c>
      <c r="V8" s="223"/>
    </row>
    <row r="9" spans="1:22" s="198" customFormat="1" ht="60" x14ac:dyDescent="0.3">
      <c r="A9" s="188" t="s">
        <v>99</v>
      </c>
      <c r="B9" s="194" t="s">
        <v>548</v>
      </c>
      <c r="C9" s="62" t="s">
        <v>40</v>
      </c>
      <c r="D9" s="188" t="s">
        <v>100</v>
      </c>
      <c r="E9" s="196" t="s">
        <v>160</v>
      </c>
      <c r="F9" s="196" t="s">
        <v>528</v>
      </c>
      <c r="G9" s="202">
        <v>44121600</v>
      </c>
      <c r="H9" s="222" t="s">
        <v>554</v>
      </c>
      <c r="I9" s="193" t="s">
        <v>531</v>
      </c>
      <c r="J9" s="193" t="s">
        <v>532</v>
      </c>
      <c r="K9" s="196" t="s">
        <v>347</v>
      </c>
      <c r="L9" s="196" t="s">
        <v>163</v>
      </c>
      <c r="M9" s="199">
        <v>3647031</v>
      </c>
      <c r="N9" s="188">
        <v>24120</v>
      </c>
      <c r="O9" s="212">
        <v>44141</v>
      </c>
      <c r="P9" s="199">
        <v>3647031</v>
      </c>
      <c r="Q9" s="199">
        <f t="shared" si="0"/>
        <v>0</v>
      </c>
      <c r="R9" s="196" t="s">
        <v>555</v>
      </c>
      <c r="S9" s="196" t="s">
        <v>556</v>
      </c>
      <c r="T9" s="199">
        <v>3647031</v>
      </c>
      <c r="U9" s="199">
        <f t="shared" si="1"/>
        <v>0</v>
      </c>
      <c r="V9" s="223"/>
    </row>
    <row r="10" spans="1:22" s="198" customFormat="1" ht="79.5" customHeight="1" x14ac:dyDescent="0.3">
      <c r="A10" s="188" t="s">
        <v>99</v>
      </c>
      <c r="B10" s="187" t="s">
        <v>557</v>
      </c>
      <c r="C10" s="62" t="s">
        <v>40</v>
      </c>
      <c r="D10" s="188" t="s">
        <v>100</v>
      </c>
      <c r="E10" s="196" t="s">
        <v>160</v>
      </c>
      <c r="F10" s="196" t="s">
        <v>528</v>
      </c>
      <c r="G10" s="202">
        <v>81101707</v>
      </c>
      <c r="H10" s="193" t="s">
        <v>558</v>
      </c>
      <c r="I10" s="193" t="s">
        <v>559</v>
      </c>
      <c r="J10" s="193" t="s">
        <v>532</v>
      </c>
      <c r="K10" s="188" t="s">
        <v>86</v>
      </c>
      <c r="L10" s="196" t="s">
        <v>163</v>
      </c>
      <c r="M10" s="199">
        <v>4000000</v>
      </c>
      <c r="N10" s="188">
        <v>13920</v>
      </c>
      <c r="O10" s="201">
        <v>43993</v>
      </c>
      <c r="P10" s="199">
        <v>4000000</v>
      </c>
      <c r="Q10" s="199">
        <f t="shared" si="0"/>
        <v>0</v>
      </c>
      <c r="R10" s="196" t="s">
        <v>560</v>
      </c>
      <c r="S10" s="196" t="s">
        <v>561</v>
      </c>
      <c r="T10" s="199"/>
      <c r="U10" s="199">
        <f t="shared" si="1"/>
        <v>4000000</v>
      </c>
      <c r="V10" s="223"/>
    </row>
    <row r="11" spans="1:22" s="198" customFormat="1" ht="79.5" customHeight="1" x14ac:dyDescent="0.3">
      <c r="A11" s="188" t="s">
        <v>39</v>
      </c>
      <c r="B11" s="187" t="s">
        <v>557</v>
      </c>
      <c r="C11" s="62" t="s">
        <v>40</v>
      </c>
      <c r="D11" s="188" t="s">
        <v>41</v>
      </c>
      <c r="E11" s="196" t="s">
        <v>42</v>
      </c>
      <c r="F11" s="196" t="s">
        <v>549</v>
      </c>
      <c r="G11" s="213">
        <v>80141607</v>
      </c>
      <c r="H11" s="197" t="s">
        <v>562</v>
      </c>
      <c r="I11" s="197" t="s">
        <v>559</v>
      </c>
      <c r="J11" s="197" t="s">
        <v>563</v>
      </c>
      <c r="K11" s="188" t="s">
        <v>158</v>
      </c>
      <c r="L11" s="196" t="s">
        <v>564</v>
      </c>
      <c r="M11" s="199">
        <v>1392500</v>
      </c>
      <c r="N11" s="188">
        <v>8320</v>
      </c>
      <c r="O11" s="201">
        <v>43903</v>
      </c>
      <c r="P11" s="214">
        <v>1392500</v>
      </c>
      <c r="Q11" s="199">
        <f t="shared" si="0"/>
        <v>0</v>
      </c>
      <c r="R11" s="196" t="s">
        <v>565</v>
      </c>
      <c r="S11" s="196" t="s">
        <v>566</v>
      </c>
      <c r="T11" s="199"/>
      <c r="U11" s="199">
        <f t="shared" si="1"/>
        <v>1392500</v>
      </c>
      <c r="V11" s="223"/>
    </row>
    <row r="12" spans="1:22" s="198" customFormat="1" ht="79.5" customHeight="1" x14ac:dyDescent="0.3">
      <c r="A12" s="188" t="s">
        <v>39</v>
      </c>
      <c r="B12" s="187" t="s">
        <v>557</v>
      </c>
      <c r="C12" s="62" t="s">
        <v>40</v>
      </c>
      <c r="D12" s="188" t="s">
        <v>41</v>
      </c>
      <c r="E12" s="196" t="s">
        <v>80</v>
      </c>
      <c r="F12" s="196" t="s">
        <v>549</v>
      </c>
      <c r="G12" s="213">
        <v>80141607</v>
      </c>
      <c r="H12" s="197" t="s">
        <v>562</v>
      </c>
      <c r="I12" s="193" t="s">
        <v>559</v>
      </c>
      <c r="J12" s="197" t="s">
        <v>563</v>
      </c>
      <c r="K12" s="188" t="s">
        <v>158</v>
      </c>
      <c r="L12" s="196" t="s">
        <v>564</v>
      </c>
      <c r="M12" s="199">
        <v>2500000</v>
      </c>
      <c r="N12" s="188">
        <v>8320</v>
      </c>
      <c r="O12" s="201">
        <v>43903</v>
      </c>
      <c r="P12" s="214">
        <v>2500000</v>
      </c>
      <c r="Q12" s="199">
        <f t="shared" si="0"/>
        <v>0</v>
      </c>
      <c r="R12" s="196" t="s">
        <v>565</v>
      </c>
      <c r="S12" s="196" t="s">
        <v>566</v>
      </c>
      <c r="T12" s="199"/>
      <c r="U12" s="199">
        <f t="shared" si="1"/>
        <v>2500000</v>
      </c>
      <c r="V12" s="223"/>
    </row>
    <row r="13" spans="1:22" s="198" customFormat="1" ht="79.5" customHeight="1" x14ac:dyDescent="0.3">
      <c r="A13" s="188" t="s">
        <v>99</v>
      </c>
      <c r="B13" s="187" t="s">
        <v>557</v>
      </c>
      <c r="C13" s="62" t="s">
        <v>40</v>
      </c>
      <c r="D13" s="188" t="s">
        <v>100</v>
      </c>
      <c r="E13" s="196" t="s">
        <v>118</v>
      </c>
      <c r="F13" s="196" t="s">
        <v>567</v>
      </c>
      <c r="G13" s="213">
        <v>80141607</v>
      </c>
      <c r="H13" s="197" t="s">
        <v>562</v>
      </c>
      <c r="I13" s="193" t="s">
        <v>559</v>
      </c>
      <c r="J13" s="197" t="s">
        <v>563</v>
      </c>
      <c r="K13" s="188" t="s">
        <v>158</v>
      </c>
      <c r="L13" s="193" t="s">
        <v>132</v>
      </c>
      <c r="M13" s="199">
        <v>15000000</v>
      </c>
      <c r="N13" s="188">
        <v>9220</v>
      </c>
      <c r="O13" s="201">
        <v>43909</v>
      </c>
      <c r="P13" s="214">
        <v>15000000</v>
      </c>
      <c r="Q13" s="199">
        <f t="shared" si="0"/>
        <v>0</v>
      </c>
      <c r="R13" s="196" t="s">
        <v>568</v>
      </c>
      <c r="S13" s="196" t="s">
        <v>566</v>
      </c>
      <c r="T13" s="199"/>
      <c r="U13" s="199">
        <f t="shared" si="1"/>
        <v>15000000</v>
      </c>
      <c r="V13" s="223"/>
    </row>
    <row r="14" spans="1:22" s="198" customFormat="1" ht="79.5" customHeight="1" x14ac:dyDescent="0.3">
      <c r="A14" s="188" t="s">
        <v>202</v>
      </c>
      <c r="B14" s="187" t="s">
        <v>557</v>
      </c>
      <c r="C14" s="62" t="s">
        <v>40</v>
      </c>
      <c r="D14" s="188" t="s">
        <v>203</v>
      </c>
      <c r="E14" s="196" t="s">
        <v>204</v>
      </c>
      <c r="F14" s="196" t="s">
        <v>549</v>
      </c>
      <c r="G14" s="211" t="s">
        <v>569</v>
      </c>
      <c r="H14" s="197" t="s">
        <v>562</v>
      </c>
      <c r="I14" s="193" t="s">
        <v>559</v>
      </c>
      <c r="J14" s="197" t="s">
        <v>563</v>
      </c>
      <c r="K14" s="188" t="s">
        <v>158</v>
      </c>
      <c r="L14" s="196" t="s">
        <v>564</v>
      </c>
      <c r="M14" s="199">
        <v>600000</v>
      </c>
      <c r="N14" s="188">
        <v>9220</v>
      </c>
      <c r="O14" s="201">
        <v>43909</v>
      </c>
      <c r="P14" s="214">
        <v>600000</v>
      </c>
      <c r="Q14" s="199">
        <f t="shared" si="0"/>
        <v>0</v>
      </c>
      <c r="R14" s="196" t="s">
        <v>565</v>
      </c>
      <c r="S14" s="196" t="s">
        <v>566</v>
      </c>
      <c r="T14" s="199"/>
      <c r="U14" s="199">
        <f t="shared" si="1"/>
        <v>600000</v>
      </c>
      <c r="V14" s="223"/>
    </row>
    <row r="15" spans="1:22" s="198" customFormat="1" ht="60" x14ac:dyDescent="0.3">
      <c r="A15" s="188" t="s">
        <v>99</v>
      </c>
      <c r="B15" s="187" t="s">
        <v>557</v>
      </c>
      <c r="C15" s="62" t="s">
        <v>40</v>
      </c>
      <c r="D15" s="188" t="s">
        <v>100</v>
      </c>
      <c r="E15" s="196" t="s">
        <v>570</v>
      </c>
      <c r="F15" s="196" t="s">
        <v>567</v>
      </c>
      <c r="G15" s="202">
        <v>43231513</v>
      </c>
      <c r="H15" s="193" t="s">
        <v>571</v>
      </c>
      <c r="I15" s="193" t="s">
        <v>559</v>
      </c>
      <c r="J15" s="193" t="s">
        <v>563</v>
      </c>
      <c r="K15" s="188" t="s">
        <v>86</v>
      </c>
      <c r="L15" s="196" t="s">
        <v>122</v>
      </c>
      <c r="M15" s="199">
        <v>14499999</v>
      </c>
      <c r="N15" s="188">
        <v>25220</v>
      </c>
      <c r="O15" s="201">
        <v>44154</v>
      </c>
      <c r="P15" s="214">
        <v>14499999</v>
      </c>
      <c r="Q15" s="199">
        <f t="shared" si="0"/>
        <v>0</v>
      </c>
      <c r="R15" s="196" t="s">
        <v>572</v>
      </c>
      <c r="S15" s="196" t="s">
        <v>573</v>
      </c>
      <c r="T15" s="199"/>
      <c r="U15" s="199">
        <f t="shared" si="1"/>
        <v>14499999</v>
      </c>
      <c r="V15" s="223"/>
    </row>
    <row r="16" spans="1:22" s="198" customFormat="1" ht="90" x14ac:dyDescent="0.3">
      <c r="A16" s="188" t="s">
        <v>99</v>
      </c>
      <c r="B16" s="187" t="s">
        <v>557</v>
      </c>
      <c r="C16" s="62" t="s">
        <v>40</v>
      </c>
      <c r="D16" s="188" t="s">
        <v>100</v>
      </c>
      <c r="E16" s="196" t="s">
        <v>153</v>
      </c>
      <c r="F16" s="196" t="s">
        <v>528</v>
      </c>
      <c r="G16" s="202" t="s">
        <v>574</v>
      </c>
      <c r="H16" s="193" t="s">
        <v>156</v>
      </c>
      <c r="I16" s="193" t="s">
        <v>559</v>
      </c>
      <c r="J16" s="193" t="s">
        <v>532</v>
      </c>
      <c r="K16" s="196" t="s">
        <v>347</v>
      </c>
      <c r="L16" s="196" t="s">
        <v>159</v>
      </c>
      <c r="M16" s="199">
        <v>47845432</v>
      </c>
      <c r="N16" s="188" t="s">
        <v>575</v>
      </c>
      <c r="O16" s="201" t="s">
        <v>576</v>
      </c>
      <c r="P16" s="214">
        <v>47845432</v>
      </c>
      <c r="Q16" s="199">
        <f t="shared" si="0"/>
        <v>0</v>
      </c>
      <c r="R16" s="196" t="s">
        <v>577</v>
      </c>
      <c r="S16" s="196" t="s">
        <v>578</v>
      </c>
      <c r="T16" s="199">
        <f>47823432+22000</f>
        <v>47845432</v>
      </c>
      <c r="U16" s="199">
        <f t="shared" si="1"/>
        <v>0</v>
      </c>
      <c r="V16" s="223"/>
    </row>
    <row r="17" spans="1:22" s="198" customFormat="1" ht="90" x14ac:dyDescent="0.3">
      <c r="A17" s="188" t="s">
        <v>99</v>
      </c>
      <c r="B17" s="187" t="s">
        <v>557</v>
      </c>
      <c r="C17" s="62" t="s">
        <v>40</v>
      </c>
      <c r="D17" s="188" t="s">
        <v>100</v>
      </c>
      <c r="E17" s="196" t="s">
        <v>153</v>
      </c>
      <c r="F17" s="196" t="s">
        <v>528</v>
      </c>
      <c r="G17" s="202" t="s">
        <v>574</v>
      </c>
      <c r="H17" s="193" t="s">
        <v>156</v>
      </c>
      <c r="I17" s="193" t="s">
        <v>531</v>
      </c>
      <c r="J17" s="193" t="s">
        <v>532</v>
      </c>
      <c r="K17" s="196" t="s">
        <v>347</v>
      </c>
      <c r="L17" s="196" t="s">
        <v>159</v>
      </c>
      <c r="M17" s="199">
        <v>3164493</v>
      </c>
      <c r="N17" s="188">
        <v>28820</v>
      </c>
      <c r="O17" s="201">
        <v>44181</v>
      </c>
      <c r="P17" s="214">
        <v>3164493</v>
      </c>
      <c r="Q17" s="199">
        <f t="shared" si="0"/>
        <v>0</v>
      </c>
      <c r="R17" s="196" t="s">
        <v>577</v>
      </c>
      <c r="S17" s="196" t="s">
        <v>578</v>
      </c>
      <c r="T17" s="199">
        <v>3164493</v>
      </c>
      <c r="U17" s="199">
        <f t="shared" si="1"/>
        <v>0</v>
      </c>
      <c r="V17" s="223"/>
    </row>
    <row r="18" spans="1:22" s="198" customFormat="1" ht="60" x14ac:dyDescent="0.3">
      <c r="A18" s="188" t="s">
        <v>99</v>
      </c>
      <c r="B18" s="187" t="s">
        <v>557</v>
      </c>
      <c r="C18" s="62" t="s">
        <v>40</v>
      </c>
      <c r="D18" s="188" t="s">
        <v>100</v>
      </c>
      <c r="E18" s="196" t="s">
        <v>160</v>
      </c>
      <c r="F18" s="196" t="s">
        <v>528</v>
      </c>
      <c r="G18" s="202">
        <v>55121734</v>
      </c>
      <c r="H18" s="193" t="s">
        <v>579</v>
      </c>
      <c r="I18" s="193" t="s">
        <v>559</v>
      </c>
      <c r="J18" s="193" t="s">
        <v>532</v>
      </c>
      <c r="K18" s="196" t="s">
        <v>347</v>
      </c>
      <c r="L18" s="196" t="s">
        <v>163</v>
      </c>
      <c r="M18" s="199">
        <v>9148164</v>
      </c>
      <c r="N18" s="188">
        <v>30920</v>
      </c>
      <c r="O18" s="201">
        <v>44189</v>
      </c>
      <c r="P18" s="214">
        <v>9148164</v>
      </c>
      <c r="Q18" s="199">
        <f t="shared" si="0"/>
        <v>0</v>
      </c>
      <c r="R18" s="196" t="s">
        <v>580</v>
      </c>
      <c r="S18" s="196" t="s">
        <v>578</v>
      </c>
      <c r="T18" s="199">
        <v>9148161.1699999999</v>
      </c>
      <c r="U18" s="199">
        <f t="shared" si="1"/>
        <v>2.8300000000745058</v>
      </c>
      <c r="V18" s="223"/>
    </row>
    <row r="19" spans="1:22" s="198" customFormat="1" ht="60" x14ac:dyDescent="0.3">
      <c r="A19" s="188" t="s">
        <v>99</v>
      </c>
      <c r="B19" s="187" t="s">
        <v>557</v>
      </c>
      <c r="C19" s="62" t="s">
        <v>40</v>
      </c>
      <c r="D19" s="188" t="s">
        <v>100</v>
      </c>
      <c r="E19" s="196" t="s">
        <v>160</v>
      </c>
      <c r="F19" s="196" t="s">
        <v>528</v>
      </c>
      <c r="G19" s="202">
        <v>55121734</v>
      </c>
      <c r="H19" s="193" t="s">
        <v>579</v>
      </c>
      <c r="I19" s="193" t="s">
        <v>531</v>
      </c>
      <c r="J19" s="193" t="s">
        <v>532</v>
      </c>
      <c r="K19" s="196" t="s">
        <v>347</v>
      </c>
      <c r="L19" s="196" t="s">
        <v>163</v>
      </c>
      <c r="M19" s="199">
        <v>13115481</v>
      </c>
      <c r="N19" s="188">
        <v>30920</v>
      </c>
      <c r="O19" s="201">
        <v>44189</v>
      </c>
      <c r="P19" s="214">
        <v>13115481</v>
      </c>
      <c r="Q19" s="199">
        <f t="shared" si="0"/>
        <v>0</v>
      </c>
      <c r="R19" s="196" t="s">
        <v>580</v>
      </c>
      <c r="S19" s="196" t="s">
        <v>578</v>
      </c>
      <c r="T19" s="199">
        <v>13115481</v>
      </c>
      <c r="U19" s="199">
        <f t="shared" si="1"/>
        <v>0</v>
      </c>
      <c r="V19" s="223"/>
    </row>
    <row r="20" spans="1:22" s="198" customFormat="1" ht="60" x14ac:dyDescent="0.3">
      <c r="A20" s="188" t="s">
        <v>99</v>
      </c>
      <c r="B20" s="188" t="s">
        <v>548</v>
      </c>
      <c r="C20" s="62" t="s">
        <v>40</v>
      </c>
      <c r="D20" s="188" t="s">
        <v>100</v>
      </c>
      <c r="E20" s="196" t="s">
        <v>160</v>
      </c>
      <c r="F20" s="196" t="s">
        <v>528</v>
      </c>
      <c r="G20" s="202">
        <v>14121904</v>
      </c>
      <c r="H20" s="193" t="s">
        <v>581</v>
      </c>
      <c r="I20" s="193" t="s">
        <v>531</v>
      </c>
      <c r="J20" s="193" t="s">
        <v>532</v>
      </c>
      <c r="K20" s="196" t="s">
        <v>347</v>
      </c>
      <c r="L20" s="196" t="s">
        <v>163</v>
      </c>
      <c r="M20" s="199">
        <v>82223863</v>
      </c>
      <c r="N20" s="188">
        <v>26920</v>
      </c>
      <c r="O20" s="220">
        <v>44168</v>
      </c>
      <c r="P20" s="214">
        <v>82223863</v>
      </c>
      <c r="Q20" s="199">
        <f t="shared" si="0"/>
        <v>0</v>
      </c>
      <c r="R20" s="196" t="s">
        <v>582</v>
      </c>
      <c r="S20" s="214" t="s">
        <v>583</v>
      </c>
      <c r="T20" s="199">
        <v>82223835</v>
      </c>
      <c r="U20" s="199">
        <f t="shared" si="1"/>
        <v>28</v>
      </c>
      <c r="V20" s="223"/>
    </row>
    <row r="21" spans="1:22" s="198" customFormat="1" ht="75" x14ac:dyDescent="0.3">
      <c r="A21" s="188" t="s">
        <v>99</v>
      </c>
      <c r="B21" s="187" t="s">
        <v>557</v>
      </c>
      <c r="C21" s="62" t="s">
        <v>40</v>
      </c>
      <c r="D21" s="188" t="s">
        <v>100</v>
      </c>
      <c r="E21" s="196" t="s">
        <v>160</v>
      </c>
      <c r="F21" s="196" t="s">
        <v>528</v>
      </c>
      <c r="G21" s="202" t="s">
        <v>535</v>
      </c>
      <c r="H21" s="193" t="s">
        <v>191</v>
      </c>
      <c r="I21" s="193" t="s">
        <v>559</v>
      </c>
      <c r="J21" s="193" t="s">
        <v>532</v>
      </c>
      <c r="K21" s="188" t="s">
        <v>86</v>
      </c>
      <c r="L21" s="196" t="s">
        <v>163</v>
      </c>
      <c r="M21" s="199">
        <v>30019949</v>
      </c>
      <c r="N21" s="188">
        <v>15020</v>
      </c>
      <c r="O21" s="201">
        <v>44001</v>
      </c>
      <c r="P21" s="214">
        <v>30019949</v>
      </c>
      <c r="Q21" s="199">
        <f t="shared" si="0"/>
        <v>0</v>
      </c>
      <c r="R21" s="196" t="s">
        <v>584</v>
      </c>
      <c r="S21" s="201" t="s">
        <v>585</v>
      </c>
      <c r="T21" s="199"/>
      <c r="U21" s="199">
        <f t="shared" si="1"/>
        <v>30019949</v>
      </c>
      <c r="V21" s="223"/>
    </row>
    <row r="22" spans="1:22" s="198" customFormat="1" ht="75" x14ac:dyDescent="0.3">
      <c r="A22" s="188" t="s">
        <v>99</v>
      </c>
      <c r="B22" s="187" t="s">
        <v>557</v>
      </c>
      <c r="C22" s="62" t="s">
        <v>40</v>
      </c>
      <c r="D22" s="188" t="s">
        <v>100</v>
      </c>
      <c r="E22" s="196" t="s">
        <v>160</v>
      </c>
      <c r="F22" s="196" t="s">
        <v>528</v>
      </c>
      <c r="G22" s="202" t="s">
        <v>535</v>
      </c>
      <c r="H22" s="193" t="s">
        <v>194</v>
      </c>
      <c r="I22" s="193" t="s">
        <v>559</v>
      </c>
      <c r="J22" s="193" t="s">
        <v>532</v>
      </c>
      <c r="K22" s="188" t="s">
        <v>86</v>
      </c>
      <c r="L22" s="196" t="s">
        <v>163</v>
      </c>
      <c r="M22" s="199">
        <v>6500000</v>
      </c>
      <c r="N22" s="188">
        <v>23920</v>
      </c>
      <c r="O22" s="201">
        <v>44141</v>
      </c>
      <c r="P22" s="214">
        <v>6500000</v>
      </c>
      <c r="Q22" s="199">
        <f t="shared" si="0"/>
        <v>0</v>
      </c>
      <c r="R22" s="196" t="s">
        <v>586</v>
      </c>
      <c r="S22" s="196" t="s">
        <v>587</v>
      </c>
      <c r="T22" s="199">
        <f>3250000+3250000</f>
        <v>6500000</v>
      </c>
      <c r="U22" s="199">
        <f t="shared" si="1"/>
        <v>0</v>
      </c>
      <c r="V22" s="223"/>
    </row>
    <row r="23" spans="1:22" s="198" customFormat="1" ht="90" x14ac:dyDescent="0.3">
      <c r="A23" s="188" t="s">
        <v>39</v>
      </c>
      <c r="B23" s="187" t="s">
        <v>557</v>
      </c>
      <c r="C23" s="62" t="s">
        <v>40</v>
      </c>
      <c r="D23" s="188" t="s">
        <v>41</v>
      </c>
      <c r="E23" s="196" t="s">
        <v>42</v>
      </c>
      <c r="F23" s="196" t="s">
        <v>549</v>
      </c>
      <c r="G23" s="213">
        <v>78111502</v>
      </c>
      <c r="H23" s="193" t="s">
        <v>588</v>
      </c>
      <c r="I23" s="197" t="s">
        <v>559</v>
      </c>
      <c r="J23" s="197" t="s">
        <v>589</v>
      </c>
      <c r="K23" s="188" t="s">
        <v>590</v>
      </c>
      <c r="L23" s="196" t="s">
        <v>148</v>
      </c>
      <c r="M23" s="199">
        <v>33952708</v>
      </c>
      <c r="N23" s="188">
        <v>8020</v>
      </c>
      <c r="O23" s="201">
        <v>43901</v>
      </c>
      <c r="P23" s="214">
        <v>33952708</v>
      </c>
      <c r="Q23" s="199">
        <f t="shared" si="0"/>
        <v>0</v>
      </c>
      <c r="R23" s="196" t="s">
        <v>591</v>
      </c>
      <c r="S23" s="196" t="s">
        <v>592</v>
      </c>
      <c r="T23" s="199"/>
      <c r="U23" s="199">
        <f t="shared" si="1"/>
        <v>33952708</v>
      </c>
      <c r="V23" s="223"/>
    </row>
    <row r="24" spans="1:22" s="198" customFormat="1" ht="90" x14ac:dyDescent="0.3">
      <c r="A24" s="188" t="s">
        <v>39</v>
      </c>
      <c r="B24" s="187" t="s">
        <v>557</v>
      </c>
      <c r="C24" s="62" t="s">
        <v>40</v>
      </c>
      <c r="D24" s="188" t="s">
        <v>41</v>
      </c>
      <c r="E24" s="196" t="s">
        <v>80</v>
      </c>
      <c r="F24" s="196" t="s">
        <v>549</v>
      </c>
      <c r="G24" s="202">
        <v>78111502</v>
      </c>
      <c r="H24" s="193" t="s">
        <v>588</v>
      </c>
      <c r="I24" s="193" t="s">
        <v>559</v>
      </c>
      <c r="J24" s="197" t="s">
        <v>589</v>
      </c>
      <c r="K24" s="188" t="s">
        <v>590</v>
      </c>
      <c r="L24" s="196" t="s">
        <v>148</v>
      </c>
      <c r="M24" s="199">
        <v>3200000</v>
      </c>
      <c r="N24" s="188">
        <v>8020</v>
      </c>
      <c r="O24" s="201">
        <v>43901</v>
      </c>
      <c r="P24" s="214">
        <v>3200000</v>
      </c>
      <c r="Q24" s="199">
        <f t="shared" si="0"/>
        <v>0</v>
      </c>
      <c r="R24" s="196" t="s">
        <v>591</v>
      </c>
      <c r="S24" s="196" t="s">
        <v>592</v>
      </c>
      <c r="T24" s="199"/>
      <c r="U24" s="199">
        <f t="shared" si="1"/>
        <v>3200000</v>
      </c>
      <c r="V24" s="223"/>
    </row>
    <row r="25" spans="1:22" s="198" customFormat="1" ht="90" x14ac:dyDescent="0.3">
      <c r="A25" s="188" t="s">
        <v>99</v>
      </c>
      <c r="B25" s="187" t="s">
        <v>557</v>
      </c>
      <c r="C25" s="62" t="s">
        <v>40</v>
      </c>
      <c r="D25" s="188" t="s">
        <v>100</v>
      </c>
      <c r="E25" s="196" t="s">
        <v>118</v>
      </c>
      <c r="F25" s="196" t="s">
        <v>567</v>
      </c>
      <c r="G25" s="202">
        <v>78111502</v>
      </c>
      <c r="H25" s="193" t="s">
        <v>588</v>
      </c>
      <c r="I25" s="193" t="s">
        <v>559</v>
      </c>
      <c r="J25" s="197" t="s">
        <v>589</v>
      </c>
      <c r="K25" s="196" t="s">
        <v>590</v>
      </c>
      <c r="L25" s="196" t="s">
        <v>148</v>
      </c>
      <c r="M25" s="199">
        <v>4800000</v>
      </c>
      <c r="N25" s="188">
        <v>8020</v>
      </c>
      <c r="O25" s="201">
        <v>43901</v>
      </c>
      <c r="P25" s="214">
        <v>4800000</v>
      </c>
      <c r="Q25" s="199">
        <f t="shared" si="0"/>
        <v>0</v>
      </c>
      <c r="R25" s="196" t="s">
        <v>591</v>
      </c>
      <c r="S25" s="196" t="s">
        <v>592</v>
      </c>
      <c r="T25" s="199"/>
      <c r="U25" s="199">
        <f t="shared" si="1"/>
        <v>4800000</v>
      </c>
      <c r="V25" s="223"/>
    </row>
    <row r="26" spans="1:22" s="198" customFormat="1" ht="90" x14ac:dyDescent="0.3">
      <c r="A26" s="188" t="s">
        <v>202</v>
      </c>
      <c r="B26" s="187" t="s">
        <v>557</v>
      </c>
      <c r="C26" s="62" t="s">
        <v>40</v>
      </c>
      <c r="D26" s="188" t="s">
        <v>203</v>
      </c>
      <c r="E26" s="196" t="s">
        <v>204</v>
      </c>
      <c r="F26" s="196" t="s">
        <v>549</v>
      </c>
      <c r="G26" s="202">
        <v>78111502</v>
      </c>
      <c r="H26" s="193" t="s">
        <v>588</v>
      </c>
      <c r="I26" s="193" t="s">
        <v>559</v>
      </c>
      <c r="J26" s="197" t="s">
        <v>589</v>
      </c>
      <c r="K26" s="188" t="s">
        <v>590</v>
      </c>
      <c r="L26" s="196" t="s">
        <v>148</v>
      </c>
      <c r="M26" s="199">
        <v>1600000</v>
      </c>
      <c r="N26" s="188">
        <v>8020</v>
      </c>
      <c r="O26" s="201">
        <v>43901</v>
      </c>
      <c r="P26" s="214">
        <v>1600000</v>
      </c>
      <c r="Q26" s="199">
        <f t="shared" si="0"/>
        <v>0</v>
      </c>
      <c r="R26" s="196" t="s">
        <v>591</v>
      </c>
      <c r="S26" s="196" t="s">
        <v>592</v>
      </c>
      <c r="T26" s="199"/>
      <c r="U26" s="199">
        <f t="shared" si="1"/>
        <v>1600000</v>
      </c>
      <c r="V26" s="223"/>
    </row>
    <row r="27" spans="1:22" s="198" customFormat="1" ht="90" x14ac:dyDescent="0.3">
      <c r="A27" s="188" t="s">
        <v>202</v>
      </c>
      <c r="B27" s="187" t="s">
        <v>557</v>
      </c>
      <c r="C27" s="62" t="s">
        <v>40</v>
      </c>
      <c r="D27" s="188" t="s">
        <v>203</v>
      </c>
      <c r="E27" s="196" t="s">
        <v>213</v>
      </c>
      <c r="F27" s="196" t="s">
        <v>549</v>
      </c>
      <c r="G27" s="202">
        <v>78111502</v>
      </c>
      <c r="H27" s="193" t="s">
        <v>588</v>
      </c>
      <c r="I27" s="193" t="s">
        <v>559</v>
      </c>
      <c r="J27" s="197" t="s">
        <v>589</v>
      </c>
      <c r="K27" s="188" t="s">
        <v>590</v>
      </c>
      <c r="L27" s="196" t="s">
        <v>148</v>
      </c>
      <c r="M27" s="199">
        <v>16000000</v>
      </c>
      <c r="N27" s="188">
        <v>8020</v>
      </c>
      <c r="O27" s="201">
        <v>43901</v>
      </c>
      <c r="P27" s="214">
        <v>16000000</v>
      </c>
      <c r="Q27" s="199">
        <f t="shared" si="0"/>
        <v>0</v>
      </c>
      <c r="R27" s="196" t="s">
        <v>591</v>
      </c>
      <c r="S27" s="196" t="s">
        <v>592</v>
      </c>
      <c r="T27" s="199"/>
      <c r="U27" s="199">
        <f t="shared" si="1"/>
        <v>16000000</v>
      </c>
      <c r="V27" s="223"/>
    </row>
    <row r="28" spans="1:22" s="198" customFormat="1" ht="142.19999999999999" customHeight="1" x14ac:dyDescent="0.3">
      <c r="A28" s="188" t="s">
        <v>99</v>
      </c>
      <c r="B28" s="187" t="s">
        <v>557</v>
      </c>
      <c r="C28" s="62" t="s">
        <v>40</v>
      </c>
      <c r="D28" s="188" t="s">
        <v>100</v>
      </c>
      <c r="E28" s="196" t="s">
        <v>143</v>
      </c>
      <c r="F28" s="196" t="s">
        <v>144</v>
      </c>
      <c r="G28" s="202">
        <v>78102203</v>
      </c>
      <c r="H28" s="193" t="s">
        <v>145</v>
      </c>
      <c r="I28" s="193" t="s">
        <v>559</v>
      </c>
      <c r="J28" s="193" t="s">
        <v>589</v>
      </c>
      <c r="K28" s="188" t="s">
        <v>86</v>
      </c>
      <c r="L28" s="196" t="s">
        <v>148</v>
      </c>
      <c r="M28" s="199">
        <v>8075750</v>
      </c>
      <c r="N28" s="188">
        <v>11920</v>
      </c>
      <c r="O28" s="201">
        <v>43955</v>
      </c>
      <c r="P28" s="214">
        <v>8075750</v>
      </c>
      <c r="Q28" s="199">
        <f t="shared" si="0"/>
        <v>0</v>
      </c>
      <c r="R28" s="196" t="s">
        <v>593</v>
      </c>
      <c r="S28" s="196" t="s">
        <v>594</v>
      </c>
      <c r="T28" s="199">
        <f>2449100+27800+1544350+2186250+99350</f>
        <v>6306850</v>
      </c>
      <c r="U28" s="199">
        <f t="shared" si="1"/>
        <v>1768900</v>
      </c>
      <c r="V28" s="223"/>
    </row>
    <row r="29" spans="1:22" s="198" customFormat="1" ht="75" x14ac:dyDescent="0.3">
      <c r="A29" s="188" t="s">
        <v>99</v>
      </c>
      <c r="B29" s="188" t="s">
        <v>527</v>
      </c>
      <c r="C29" s="62" t="s">
        <v>40</v>
      </c>
      <c r="D29" s="188" t="s">
        <v>100</v>
      </c>
      <c r="E29" s="196" t="s">
        <v>160</v>
      </c>
      <c r="F29" s="196" t="s">
        <v>528</v>
      </c>
      <c r="G29" s="202" t="s">
        <v>535</v>
      </c>
      <c r="H29" s="193" t="s">
        <v>195</v>
      </c>
      <c r="I29" s="193" t="s">
        <v>531</v>
      </c>
      <c r="J29" s="193" t="s">
        <v>532</v>
      </c>
      <c r="K29" s="188" t="s">
        <v>86</v>
      </c>
      <c r="L29" s="196" t="s">
        <v>163</v>
      </c>
      <c r="M29" s="199">
        <v>700</v>
      </c>
      <c r="N29" s="188">
        <v>23420</v>
      </c>
      <c r="O29" s="201">
        <v>44134</v>
      </c>
      <c r="P29" s="214">
        <v>700</v>
      </c>
      <c r="Q29" s="199">
        <f t="shared" si="0"/>
        <v>0</v>
      </c>
      <c r="R29" s="196" t="s">
        <v>595</v>
      </c>
      <c r="S29" s="196" t="s">
        <v>596</v>
      </c>
      <c r="T29" s="199">
        <v>700</v>
      </c>
      <c r="U29" s="199">
        <f t="shared" si="1"/>
        <v>0</v>
      </c>
      <c r="V29" s="223"/>
    </row>
    <row r="30" spans="1:22" s="198" customFormat="1" ht="60" x14ac:dyDescent="0.3">
      <c r="A30" s="188" t="s">
        <v>99</v>
      </c>
      <c r="B30" s="187" t="s">
        <v>557</v>
      </c>
      <c r="C30" s="62" t="s">
        <v>40</v>
      </c>
      <c r="D30" s="188" t="s">
        <v>100</v>
      </c>
      <c r="E30" s="196" t="s">
        <v>597</v>
      </c>
      <c r="F30" s="196" t="s">
        <v>598</v>
      </c>
      <c r="G30" s="202" t="s">
        <v>599</v>
      </c>
      <c r="H30" s="195" t="s">
        <v>600</v>
      </c>
      <c r="I30" s="193" t="s">
        <v>559</v>
      </c>
      <c r="J30" s="193" t="s">
        <v>532</v>
      </c>
      <c r="K30" s="188" t="s">
        <v>199</v>
      </c>
      <c r="L30" s="196" t="s">
        <v>280</v>
      </c>
      <c r="M30" s="199">
        <v>20441811</v>
      </c>
      <c r="N30" s="188">
        <v>27920</v>
      </c>
      <c r="O30" s="201">
        <v>44175</v>
      </c>
      <c r="P30" s="214">
        <v>20441811</v>
      </c>
      <c r="Q30" s="199">
        <f t="shared" si="0"/>
        <v>0</v>
      </c>
      <c r="R30" s="196" t="s">
        <v>601</v>
      </c>
      <c r="S30" s="196" t="s">
        <v>602</v>
      </c>
      <c r="T30" s="199">
        <v>20441811</v>
      </c>
      <c r="U30" s="199">
        <f t="shared" si="1"/>
        <v>0</v>
      </c>
      <c r="V30" s="223"/>
    </row>
    <row r="31" spans="1:22" s="198" customFormat="1" ht="60" x14ac:dyDescent="0.3">
      <c r="A31" s="188" t="s">
        <v>99</v>
      </c>
      <c r="B31" s="187" t="s">
        <v>557</v>
      </c>
      <c r="C31" s="62" t="s">
        <v>40</v>
      </c>
      <c r="D31" s="188" t="s">
        <v>100</v>
      </c>
      <c r="E31" s="196" t="s">
        <v>597</v>
      </c>
      <c r="F31" s="196" t="s">
        <v>598</v>
      </c>
      <c r="G31" s="202" t="s">
        <v>599</v>
      </c>
      <c r="H31" s="195" t="s">
        <v>600</v>
      </c>
      <c r="I31" s="193" t="s">
        <v>531</v>
      </c>
      <c r="J31" s="193" t="s">
        <v>532</v>
      </c>
      <c r="K31" s="188" t="s">
        <v>199</v>
      </c>
      <c r="L31" s="196" t="s">
        <v>280</v>
      </c>
      <c r="M31" s="199">
        <v>1158189</v>
      </c>
      <c r="N31" s="188">
        <v>27920</v>
      </c>
      <c r="O31" s="201">
        <v>44175</v>
      </c>
      <c r="P31" s="214">
        <v>1158189</v>
      </c>
      <c r="Q31" s="199">
        <f t="shared" si="0"/>
        <v>0</v>
      </c>
      <c r="R31" s="196" t="s">
        <v>601</v>
      </c>
      <c r="S31" s="196" t="s">
        <v>602</v>
      </c>
      <c r="T31" s="199">
        <v>1158189</v>
      </c>
      <c r="U31" s="199">
        <f t="shared" si="1"/>
        <v>0</v>
      </c>
      <c r="V31" s="223"/>
    </row>
    <row r="32" spans="1:22" s="198" customFormat="1" ht="60" x14ac:dyDescent="0.3">
      <c r="A32" s="188" t="s">
        <v>99</v>
      </c>
      <c r="B32" s="188" t="s">
        <v>527</v>
      </c>
      <c r="C32" s="62" t="s">
        <v>40</v>
      </c>
      <c r="D32" s="188" t="s">
        <v>100</v>
      </c>
      <c r="E32" s="196" t="s">
        <v>570</v>
      </c>
      <c r="F32" s="196" t="s">
        <v>567</v>
      </c>
      <c r="G32" s="213">
        <v>43211711</v>
      </c>
      <c r="H32" s="221" t="s">
        <v>603</v>
      </c>
      <c r="I32" s="193" t="s">
        <v>531</v>
      </c>
      <c r="J32" s="193" t="s">
        <v>563</v>
      </c>
      <c r="K32" s="205" t="s">
        <v>199</v>
      </c>
      <c r="L32" s="196" t="s">
        <v>564</v>
      </c>
      <c r="M32" s="199">
        <v>64846898</v>
      </c>
      <c r="N32" s="188">
        <v>27120</v>
      </c>
      <c r="O32" s="212">
        <v>44169</v>
      </c>
      <c r="P32" s="214">
        <v>64846898</v>
      </c>
      <c r="Q32" s="199">
        <f t="shared" si="0"/>
        <v>0</v>
      </c>
      <c r="R32" s="196" t="s">
        <v>604</v>
      </c>
      <c r="S32" s="196" t="s">
        <v>605</v>
      </c>
      <c r="T32" s="199">
        <v>64846898</v>
      </c>
      <c r="U32" s="199">
        <f t="shared" si="1"/>
        <v>0</v>
      </c>
      <c r="V32" s="223"/>
    </row>
    <row r="33" spans="1:22" s="198" customFormat="1" ht="75" x14ac:dyDescent="0.3">
      <c r="A33" s="188" t="s">
        <v>202</v>
      </c>
      <c r="B33" s="196" t="s">
        <v>542</v>
      </c>
      <c r="C33" s="62" t="s">
        <v>40</v>
      </c>
      <c r="D33" s="188" t="s">
        <v>203</v>
      </c>
      <c r="E33" s="196" t="s">
        <v>204</v>
      </c>
      <c r="F33" s="196" t="s">
        <v>549</v>
      </c>
      <c r="G33" s="202" t="s">
        <v>606</v>
      </c>
      <c r="H33" s="193" t="s">
        <v>607</v>
      </c>
      <c r="I33" s="193" t="s">
        <v>531</v>
      </c>
      <c r="J33" s="193" t="s">
        <v>532</v>
      </c>
      <c r="K33" s="196" t="s">
        <v>608</v>
      </c>
      <c r="L33" s="196" t="s">
        <v>609</v>
      </c>
      <c r="M33" s="199">
        <v>20000000</v>
      </c>
      <c r="N33" s="188">
        <v>24520</v>
      </c>
      <c r="O33" s="201">
        <v>44144</v>
      </c>
      <c r="P33" s="214">
        <v>20000000</v>
      </c>
      <c r="Q33" s="199">
        <f t="shared" si="0"/>
        <v>0</v>
      </c>
      <c r="R33" s="196" t="s">
        <v>610</v>
      </c>
      <c r="S33" s="196" t="s">
        <v>611</v>
      </c>
      <c r="T33" s="199">
        <f>2000000+9000000</f>
        <v>11000000</v>
      </c>
      <c r="U33" s="199">
        <f t="shared" si="1"/>
        <v>9000000</v>
      </c>
      <c r="V33" s="225" t="s">
        <v>612</v>
      </c>
    </row>
    <row r="34" spans="1:22" s="198" customFormat="1" ht="102" customHeight="1" x14ac:dyDescent="0.3">
      <c r="A34" s="196" t="s">
        <v>613</v>
      </c>
      <c r="B34" s="187" t="s">
        <v>557</v>
      </c>
      <c r="C34" s="61" t="s">
        <v>223</v>
      </c>
      <c r="D34" s="188" t="s">
        <v>239</v>
      </c>
      <c r="E34" s="196" t="s">
        <v>244</v>
      </c>
      <c r="F34" s="196" t="s">
        <v>241</v>
      </c>
      <c r="G34" s="202" t="s">
        <v>614</v>
      </c>
      <c r="H34" s="193" t="s">
        <v>246</v>
      </c>
      <c r="I34" s="193" t="s">
        <v>559</v>
      </c>
      <c r="J34" s="193" t="s">
        <v>146</v>
      </c>
      <c r="K34" s="188" t="s">
        <v>86</v>
      </c>
      <c r="L34" s="196" t="s">
        <v>243</v>
      </c>
      <c r="M34" s="199">
        <v>7300000</v>
      </c>
      <c r="N34" s="188">
        <v>26220</v>
      </c>
      <c r="O34" s="201">
        <v>44165</v>
      </c>
      <c r="P34" s="199">
        <v>7300000</v>
      </c>
      <c r="Q34" s="199">
        <f t="shared" si="0"/>
        <v>0</v>
      </c>
      <c r="R34" s="196" t="s">
        <v>615</v>
      </c>
      <c r="S34" s="196" t="s">
        <v>616</v>
      </c>
      <c r="T34" s="199">
        <f>3650000</f>
        <v>3650000</v>
      </c>
      <c r="U34" s="199">
        <f t="shared" si="1"/>
        <v>3650000</v>
      </c>
      <c r="V34" s="223"/>
    </row>
    <row r="35" spans="1:22" s="198" customFormat="1" ht="105" x14ac:dyDescent="0.3">
      <c r="A35" s="188" t="s">
        <v>617</v>
      </c>
      <c r="B35" s="187" t="s">
        <v>557</v>
      </c>
      <c r="C35" s="61" t="s">
        <v>223</v>
      </c>
      <c r="D35" s="188" t="s">
        <v>618</v>
      </c>
      <c r="E35" s="196" t="s">
        <v>619</v>
      </c>
      <c r="F35" s="196" t="s">
        <v>144</v>
      </c>
      <c r="G35" s="202">
        <v>72103300</v>
      </c>
      <c r="H35" s="192" t="s">
        <v>620</v>
      </c>
      <c r="I35" s="193" t="s">
        <v>531</v>
      </c>
      <c r="J35" s="193" t="s">
        <v>589</v>
      </c>
      <c r="K35" s="205" t="s">
        <v>621</v>
      </c>
      <c r="L35" s="196" t="s">
        <v>148</v>
      </c>
      <c r="M35" s="199">
        <v>8000001</v>
      </c>
      <c r="N35" s="188">
        <v>14320</v>
      </c>
      <c r="O35" s="201">
        <v>43998</v>
      </c>
      <c r="P35" s="199">
        <v>8000001</v>
      </c>
      <c r="Q35" s="199">
        <f t="shared" si="0"/>
        <v>0</v>
      </c>
      <c r="R35" s="196" t="s">
        <v>622</v>
      </c>
      <c r="S35" s="196" t="s">
        <v>623</v>
      </c>
      <c r="T35" s="199">
        <f>4000001+4000000</f>
        <v>8000001</v>
      </c>
      <c r="U35" s="199">
        <f t="shared" si="1"/>
        <v>0</v>
      </c>
      <c r="V35" s="223"/>
    </row>
    <row r="36" spans="1:22" s="198" customFormat="1" ht="105" x14ac:dyDescent="0.3">
      <c r="A36" s="188" t="s">
        <v>617</v>
      </c>
      <c r="B36" s="196" t="s">
        <v>542</v>
      </c>
      <c r="C36" s="61" t="s">
        <v>223</v>
      </c>
      <c r="D36" s="188" t="s">
        <v>618</v>
      </c>
      <c r="E36" s="196" t="s">
        <v>619</v>
      </c>
      <c r="F36" s="196" t="s">
        <v>144</v>
      </c>
      <c r="G36" s="202" t="s">
        <v>624</v>
      </c>
      <c r="H36" s="192" t="s">
        <v>625</v>
      </c>
      <c r="I36" s="193" t="s">
        <v>531</v>
      </c>
      <c r="J36" s="193" t="s">
        <v>589</v>
      </c>
      <c r="K36" s="188" t="s">
        <v>372</v>
      </c>
      <c r="L36" s="196" t="s">
        <v>148</v>
      </c>
      <c r="M36" s="199">
        <f>91093572+7229379</f>
        <v>98322951</v>
      </c>
      <c r="N36" s="188" t="s">
        <v>626</v>
      </c>
      <c r="O36" s="206" t="s">
        <v>627</v>
      </c>
      <c r="P36" s="199">
        <f>91093572+7229379</f>
        <v>98322951</v>
      </c>
      <c r="Q36" s="199">
        <f t="shared" si="0"/>
        <v>0</v>
      </c>
      <c r="R36" s="196" t="s">
        <v>628</v>
      </c>
      <c r="S36" s="196" t="s">
        <v>629</v>
      </c>
      <c r="T36" s="199">
        <f>54656143.55+36437428.45+7229379</f>
        <v>98322951</v>
      </c>
      <c r="U36" s="199">
        <f t="shared" si="1"/>
        <v>0</v>
      </c>
      <c r="V36" s="225" t="s">
        <v>630</v>
      </c>
    </row>
    <row r="37" spans="1:22" s="198" customFormat="1" ht="73.5" customHeight="1" x14ac:dyDescent="0.3">
      <c r="A37" s="188" t="s">
        <v>268</v>
      </c>
      <c r="B37" s="196" t="s">
        <v>542</v>
      </c>
      <c r="C37" s="61" t="s">
        <v>223</v>
      </c>
      <c r="D37" s="188" t="s">
        <v>269</v>
      </c>
      <c r="E37" s="196" t="s">
        <v>270</v>
      </c>
      <c r="F37" s="196" t="s">
        <v>271</v>
      </c>
      <c r="G37" s="209">
        <v>81112100</v>
      </c>
      <c r="H37" s="195" t="s">
        <v>288</v>
      </c>
      <c r="I37" s="193" t="s">
        <v>531</v>
      </c>
      <c r="J37" s="193" t="s">
        <v>257</v>
      </c>
      <c r="K37" s="188" t="s">
        <v>86</v>
      </c>
      <c r="L37" s="193" t="s">
        <v>273</v>
      </c>
      <c r="M37" s="199">
        <f>6994256+7579932</f>
        <v>14574188</v>
      </c>
      <c r="N37" s="196" t="s">
        <v>631</v>
      </c>
      <c r="O37" s="206" t="s">
        <v>632</v>
      </c>
      <c r="P37" s="199">
        <f>6994256+7579932</f>
        <v>14574188</v>
      </c>
      <c r="Q37" s="199">
        <f t="shared" si="0"/>
        <v>0</v>
      </c>
      <c r="R37" s="196" t="s">
        <v>633</v>
      </c>
      <c r="S37" s="204" t="s">
        <v>634</v>
      </c>
      <c r="T37" s="199">
        <f>5029932+1964324+3065608+4514324</f>
        <v>14574188</v>
      </c>
      <c r="U37" s="199">
        <f t="shared" si="1"/>
        <v>0</v>
      </c>
      <c r="V37" s="225" t="s">
        <v>635</v>
      </c>
    </row>
    <row r="38" spans="1:22" s="198" customFormat="1" ht="73.5" customHeight="1" x14ac:dyDescent="0.3">
      <c r="A38" s="188" t="s">
        <v>268</v>
      </c>
      <c r="B38" s="187" t="s">
        <v>557</v>
      </c>
      <c r="C38" s="61" t="s">
        <v>223</v>
      </c>
      <c r="D38" s="188" t="s">
        <v>269</v>
      </c>
      <c r="E38" s="196" t="s">
        <v>270</v>
      </c>
      <c r="F38" s="196" t="s">
        <v>271</v>
      </c>
      <c r="G38" s="209">
        <v>81112100</v>
      </c>
      <c r="H38" s="195" t="s">
        <v>288</v>
      </c>
      <c r="I38" s="193" t="s">
        <v>559</v>
      </c>
      <c r="J38" s="193" t="s">
        <v>257</v>
      </c>
      <c r="K38" s="188" t="s">
        <v>86</v>
      </c>
      <c r="L38" s="193" t="s">
        <v>273</v>
      </c>
      <c r="M38" s="199">
        <v>4087208</v>
      </c>
      <c r="N38" s="196">
        <v>31620</v>
      </c>
      <c r="O38" s="206">
        <v>44194</v>
      </c>
      <c r="P38" s="199">
        <v>4087208</v>
      </c>
      <c r="Q38" s="199">
        <f t="shared" si="0"/>
        <v>0</v>
      </c>
      <c r="R38" s="196" t="s">
        <v>636</v>
      </c>
      <c r="S38" s="204" t="s">
        <v>290</v>
      </c>
      <c r="T38" s="199">
        <f>3707259.99+379948.01</f>
        <v>4087208</v>
      </c>
      <c r="U38" s="199">
        <f t="shared" si="1"/>
        <v>0</v>
      </c>
      <c r="V38" s="223"/>
    </row>
    <row r="39" spans="1:22" s="198" customFormat="1" ht="79.5" customHeight="1" x14ac:dyDescent="0.3">
      <c r="A39" s="188" t="s">
        <v>222</v>
      </c>
      <c r="B39" s="187" t="s">
        <v>557</v>
      </c>
      <c r="C39" s="61" t="s">
        <v>223</v>
      </c>
      <c r="D39" s="188" t="s">
        <v>224</v>
      </c>
      <c r="E39" s="196" t="s">
        <v>225</v>
      </c>
      <c r="F39" s="196" t="s">
        <v>226</v>
      </c>
      <c r="G39" s="211" t="s">
        <v>637</v>
      </c>
      <c r="H39" s="192" t="s">
        <v>638</v>
      </c>
      <c r="I39" s="193" t="s">
        <v>531</v>
      </c>
      <c r="J39" s="193" t="s">
        <v>589</v>
      </c>
      <c r="K39" s="205" t="s">
        <v>639</v>
      </c>
      <c r="L39" s="196" t="s">
        <v>640</v>
      </c>
      <c r="M39" s="199">
        <v>4695244</v>
      </c>
      <c r="N39" s="188">
        <v>4820</v>
      </c>
      <c r="O39" s="201">
        <v>43885</v>
      </c>
      <c r="P39" s="214">
        <v>4695244</v>
      </c>
      <c r="Q39" s="199">
        <f t="shared" si="0"/>
        <v>0</v>
      </c>
      <c r="R39" s="196" t="s">
        <v>641</v>
      </c>
      <c r="S39" s="196" t="s">
        <v>642</v>
      </c>
      <c r="T39" s="199">
        <f>2347622+2347622</f>
        <v>4695244</v>
      </c>
      <c r="U39" s="199">
        <f t="shared" si="1"/>
        <v>0</v>
      </c>
      <c r="V39" s="223"/>
    </row>
    <row r="40" spans="1:22" s="198" customFormat="1" ht="73.5" customHeight="1" x14ac:dyDescent="0.3">
      <c r="A40" s="188" t="s">
        <v>268</v>
      </c>
      <c r="B40" s="188" t="s">
        <v>527</v>
      </c>
      <c r="C40" s="61" t="s">
        <v>223</v>
      </c>
      <c r="D40" s="188" t="s">
        <v>269</v>
      </c>
      <c r="E40" s="196" t="s">
        <v>270</v>
      </c>
      <c r="F40" s="196" t="s">
        <v>271</v>
      </c>
      <c r="G40" s="202" t="s">
        <v>643</v>
      </c>
      <c r="H40" s="192" t="s">
        <v>644</v>
      </c>
      <c r="I40" s="193" t="s">
        <v>559</v>
      </c>
      <c r="J40" s="193" t="s">
        <v>257</v>
      </c>
      <c r="K40" s="188" t="s">
        <v>199</v>
      </c>
      <c r="L40" s="193" t="s">
        <v>476</v>
      </c>
      <c r="M40" s="199">
        <v>6.32</v>
      </c>
      <c r="N40" s="188">
        <v>24220</v>
      </c>
      <c r="O40" s="206" t="s">
        <v>645</v>
      </c>
      <c r="P40" s="214">
        <v>6.32</v>
      </c>
      <c r="Q40" s="199">
        <f t="shared" si="0"/>
        <v>0</v>
      </c>
      <c r="R40" s="196" t="s">
        <v>646</v>
      </c>
      <c r="S40" s="196" t="s">
        <v>647</v>
      </c>
      <c r="T40" s="199"/>
      <c r="U40" s="199">
        <f t="shared" si="1"/>
        <v>6.32</v>
      </c>
      <c r="V40" s="223"/>
    </row>
    <row r="41" spans="1:22" s="198" customFormat="1" ht="73.5" customHeight="1" x14ac:dyDescent="0.3">
      <c r="A41" s="188" t="s">
        <v>268</v>
      </c>
      <c r="B41" s="188" t="s">
        <v>527</v>
      </c>
      <c r="C41" s="61" t="s">
        <v>223</v>
      </c>
      <c r="D41" s="188" t="s">
        <v>269</v>
      </c>
      <c r="E41" s="196" t="s">
        <v>270</v>
      </c>
      <c r="F41" s="196" t="s">
        <v>271</v>
      </c>
      <c r="G41" s="202" t="s">
        <v>643</v>
      </c>
      <c r="H41" s="192" t="s">
        <v>644</v>
      </c>
      <c r="I41" s="193" t="s">
        <v>531</v>
      </c>
      <c r="J41" s="193" t="s">
        <v>257</v>
      </c>
      <c r="K41" s="188" t="s">
        <v>199</v>
      </c>
      <c r="L41" s="193" t="s">
        <v>476</v>
      </c>
      <c r="M41" s="199">
        <f>16711405+4284408</f>
        <v>20995813</v>
      </c>
      <c r="N41" s="188" t="s">
        <v>648</v>
      </c>
      <c r="O41" s="206" t="s">
        <v>645</v>
      </c>
      <c r="P41" s="214">
        <f>16711405+4284408</f>
        <v>20995813</v>
      </c>
      <c r="Q41" s="199">
        <f t="shared" si="0"/>
        <v>0</v>
      </c>
      <c r="R41" s="196" t="s">
        <v>646</v>
      </c>
      <c r="S41" s="196" t="s">
        <v>647</v>
      </c>
      <c r="T41" s="199">
        <f>16711405+4284408</f>
        <v>20995813</v>
      </c>
      <c r="U41" s="199">
        <f t="shared" si="1"/>
        <v>0</v>
      </c>
      <c r="V41" s="223"/>
    </row>
    <row r="42" spans="1:22" s="198" customFormat="1" ht="51" customHeight="1" x14ac:dyDescent="0.3">
      <c r="A42" s="187" t="s">
        <v>459</v>
      </c>
      <c r="B42" s="187" t="s">
        <v>557</v>
      </c>
      <c r="C42" s="226" t="s">
        <v>379</v>
      </c>
      <c r="D42" s="187" t="s">
        <v>649</v>
      </c>
      <c r="E42" s="187" t="s">
        <v>65</v>
      </c>
      <c r="F42" s="187" t="s">
        <v>144</v>
      </c>
      <c r="G42" s="186" t="s">
        <v>461</v>
      </c>
      <c r="H42" s="186" t="s">
        <v>462</v>
      </c>
      <c r="I42" s="185" t="s">
        <v>650</v>
      </c>
      <c r="J42" s="186" t="s">
        <v>146</v>
      </c>
      <c r="K42" s="187" t="s">
        <v>86</v>
      </c>
      <c r="L42" s="196" t="s">
        <v>148</v>
      </c>
      <c r="M42" s="199">
        <v>2992139.29</v>
      </c>
      <c r="N42" s="188">
        <v>13520</v>
      </c>
      <c r="O42" s="200">
        <v>43985</v>
      </c>
      <c r="P42" s="199">
        <v>2992139.29</v>
      </c>
      <c r="Q42" s="199">
        <f t="shared" si="0"/>
        <v>0</v>
      </c>
      <c r="R42" s="186" t="s">
        <v>651</v>
      </c>
      <c r="S42" s="186" t="s">
        <v>464</v>
      </c>
      <c r="T42" s="199">
        <f>395699.99+241000+1277728</f>
        <v>1914427.99</v>
      </c>
      <c r="U42" s="199">
        <f>+M42-T42</f>
        <v>1077711.3</v>
      </c>
      <c r="V42" s="223"/>
    </row>
    <row r="43" spans="1:22" s="198" customFormat="1" ht="42.75" customHeight="1" x14ac:dyDescent="0.3">
      <c r="A43" s="194" t="s">
        <v>652</v>
      </c>
      <c r="B43" s="194" t="s">
        <v>527</v>
      </c>
      <c r="C43" s="226" t="s">
        <v>379</v>
      </c>
      <c r="D43" s="187" t="s">
        <v>653</v>
      </c>
      <c r="E43" s="187" t="s">
        <v>65</v>
      </c>
      <c r="F43" s="187" t="s">
        <v>241</v>
      </c>
      <c r="G43" s="186">
        <v>93141506</v>
      </c>
      <c r="H43" s="186" t="s">
        <v>654</v>
      </c>
      <c r="I43" s="185" t="s">
        <v>531</v>
      </c>
      <c r="J43" s="187" t="s">
        <v>146</v>
      </c>
      <c r="K43" s="187" t="s">
        <v>86</v>
      </c>
      <c r="L43" s="186" t="s">
        <v>243</v>
      </c>
      <c r="M43" s="199">
        <v>4952902</v>
      </c>
      <c r="N43" s="187">
        <v>26220</v>
      </c>
      <c r="O43" s="200">
        <v>44165</v>
      </c>
      <c r="P43" s="199">
        <v>4952902</v>
      </c>
      <c r="Q43" s="199">
        <f t="shared" ref="Q43:Q68" si="2">+M43-P43</f>
        <v>0</v>
      </c>
      <c r="R43" s="203" t="s">
        <v>615</v>
      </c>
      <c r="S43" s="204" t="s">
        <v>616</v>
      </c>
      <c r="T43" s="199">
        <v>4952902</v>
      </c>
      <c r="U43" s="199">
        <f t="shared" ref="U43:U68" si="3">+P43-T43</f>
        <v>0</v>
      </c>
      <c r="V43" s="223"/>
    </row>
    <row r="44" spans="1:22" s="198" customFormat="1" ht="36.75" customHeight="1" x14ac:dyDescent="0.3">
      <c r="A44" s="191" t="s">
        <v>459</v>
      </c>
      <c r="B44" s="187" t="s">
        <v>557</v>
      </c>
      <c r="C44" s="226" t="s">
        <v>379</v>
      </c>
      <c r="D44" s="187" t="s">
        <v>649</v>
      </c>
      <c r="E44" s="187" t="s">
        <v>65</v>
      </c>
      <c r="F44" s="187" t="s">
        <v>144</v>
      </c>
      <c r="G44" s="186">
        <v>78181500</v>
      </c>
      <c r="H44" s="186" t="s">
        <v>460</v>
      </c>
      <c r="I44" s="185" t="s">
        <v>650</v>
      </c>
      <c r="J44" s="186" t="s">
        <v>146</v>
      </c>
      <c r="K44" s="187" t="s">
        <v>86</v>
      </c>
      <c r="L44" s="196" t="s">
        <v>148</v>
      </c>
      <c r="M44" s="199">
        <v>5116035</v>
      </c>
      <c r="N44" s="188">
        <v>11120</v>
      </c>
      <c r="O44" s="200">
        <v>43943</v>
      </c>
      <c r="P44" s="199">
        <v>5116035</v>
      </c>
      <c r="Q44" s="199">
        <f t="shared" si="2"/>
        <v>0</v>
      </c>
      <c r="R44" s="186" t="s">
        <v>655</v>
      </c>
      <c r="S44" s="186" t="s">
        <v>656</v>
      </c>
      <c r="T44" s="199"/>
      <c r="U44" s="199">
        <f t="shared" si="3"/>
        <v>5116035</v>
      </c>
      <c r="V44" s="223"/>
    </row>
    <row r="45" spans="1:22" s="198" customFormat="1" ht="53.25" customHeight="1" x14ac:dyDescent="0.3">
      <c r="A45" s="194" t="s">
        <v>369</v>
      </c>
      <c r="B45" s="187" t="s">
        <v>557</v>
      </c>
      <c r="C45" s="226" t="s">
        <v>379</v>
      </c>
      <c r="D45" s="187" t="s">
        <v>657</v>
      </c>
      <c r="E45" s="187" t="s">
        <v>65</v>
      </c>
      <c r="F45" s="187" t="s">
        <v>144</v>
      </c>
      <c r="G45" s="186">
        <v>72103300</v>
      </c>
      <c r="H45" s="186" t="s">
        <v>658</v>
      </c>
      <c r="I45" s="185" t="s">
        <v>650</v>
      </c>
      <c r="J45" s="186" t="s">
        <v>146</v>
      </c>
      <c r="K45" s="187" t="s">
        <v>372</v>
      </c>
      <c r="L45" s="196" t="s">
        <v>148</v>
      </c>
      <c r="M45" s="199">
        <v>3758910.8</v>
      </c>
      <c r="N45" s="188">
        <v>31120</v>
      </c>
      <c r="O45" s="200">
        <v>44189</v>
      </c>
      <c r="P45" s="199">
        <v>3758910.8</v>
      </c>
      <c r="Q45" s="199">
        <f t="shared" si="2"/>
        <v>0</v>
      </c>
      <c r="R45" s="186" t="s">
        <v>628</v>
      </c>
      <c r="S45" s="186" t="s">
        <v>629</v>
      </c>
      <c r="T45" s="199">
        <v>3658963.97</v>
      </c>
      <c r="U45" s="199">
        <f t="shared" si="3"/>
        <v>99946.829999999609</v>
      </c>
      <c r="V45" s="223"/>
    </row>
    <row r="46" spans="1:22" s="198" customFormat="1" ht="105" x14ac:dyDescent="0.3">
      <c r="A46" s="194" t="s">
        <v>396</v>
      </c>
      <c r="B46" s="187" t="s">
        <v>557</v>
      </c>
      <c r="C46" s="226" t="s">
        <v>379</v>
      </c>
      <c r="D46" s="187" t="s">
        <v>649</v>
      </c>
      <c r="E46" s="187" t="s">
        <v>65</v>
      </c>
      <c r="F46" s="186" t="s">
        <v>659</v>
      </c>
      <c r="G46" s="186">
        <v>80101505</v>
      </c>
      <c r="H46" s="186" t="s">
        <v>425</v>
      </c>
      <c r="I46" s="185" t="s">
        <v>531</v>
      </c>
      <c r="J46" s="186" t="s">
        <v>146</v>
      </c>
      <c r="K46" s="186" t="s">
        <v>621</v>
      </c>
      <c r="L46" s="186" t="s">
        <v>426</v>
      </c>
      <c r="M46" s="199">
        <v>4218690</v>
      </c>
      <c r="N46" s="188">
        <v>28220</v>
      </c>
      <c r="O46" s="200">
        <v>44179</v>
      </c>
      <c r="P46" s="199">
        <v>4218690</v>
      </c>
      <c r="Q46" s="199">
        <f t="shared" si="2"/>
        <v>0</v>
      </c>
      <c r="R46" s="186" t="s">
        <v>660</v>
      </c>
      <c r="S46" s="186" t="s">
        <v>661</v>
      </c>
      <c r="T46" s="199">
        <f>3420560+798130</f>
        <v>4218690</v>
      </c>
      <c r="U46" s="199">
        <f t="shared" si="3"/>
        <v>0</v>
      </c>
      <c r="V46" s="223"/>
    </row>
    <row r="47" spans="1:22" s="198" customFormat="1" ht="75" x14ac:dyDescent="0.3">
      <c r="A47" s="194" t="s">
        <v>396</v>
      </c>
      <c r="B47" s="187" t="s">
        <v>557</v>
      </c>
      <c r="C47" s="226" t="s">
        <v>379</v>
      </c>
      <c r="D47" s="187" t="s">
        <v>649</v>
      </c>
      <c r="E47" s="187" t="s">
        <v>65</v>
      </c>
      <c r="F47" s="187" t="s">
        <v>400</v>
      </c>
      <c r="G47" s="186">
        <v>80101505</v>
      </c>
      <c r="H47" s="186" t="s">
        <v>662</v>
      </c>
      <c r="I47" s="185" t="s">
        <v>531</v>
      </c>
      <c r="J47" s="186" t="s">
        <v>146</v>
      </c>
      <c r="K47" s="186" t="s">
        <v>639</v>
      </c>
      <c r="L47" s="196" t="s">
        <v>148</v>
      </c>
      <c r="M47" s="199">
        <v>1561991</v>
      </c>
      <c r="N47" s="187">
        <v>30220</v>
      </c>
      <c r="O47" s="208">
        <v>44187</v>
      </c>
      <c r="P47" s="199">
        <v>1561991</v>
      </c>
      <c r="Q47" s="199">
        <f t="shared" si="2"/>
        <v>0</v>
      </c>
      <c r="R47" s="187" t="s">
        <v>663</v>
      </c>
      <c r="S47" s="186" t="s">
        <v>664</v>
      </c>
      <c r="T47" s="199">
        <v>1561991</v>
      </c>
      <c r="U47" s="199">
        <f t="shared" si="3"/>
        <v>0</v>
      </c>
      <c r="V47" s="223"/>
    </row>
    <row r="48" spans="1:22" s="198" customFormat="1" ht="30" x14ac:dyDescent="0.3">
      <c r="A48" s="194" t="s">
        <v>665</v>
      </c>
      <c r="B48" s="187" t="s">
        <v>557</v>
      </c>
      <c r="C48" s="226" t="s">
        <v>379</v>
      </c>
      <c r="D48" s="187" t="s">
        <v>666</v>
      </c>
      <c r="E48" s="187" t="s">
        <v>65</v>
      </c>
      <c r="F48" s="187" t="s">
        <v>144</v>
      </c>
      <c r="G48" s="186">
        <v>80131802</v>
      </c>
      <c r="H48" s="186" t="s">
        <v>667</v>
      </c>
      <c r="I48" s="185" t="s">
        <v>531</v>
      </c>
      <c r="J48" s="186" t="s">
        <v>146</v>
      </c>
      <c r="K48" s="186" t="s">
        <v>86</v>
      </c>
      <c r="L48" s="196" t="s">
        <v>148</v>
      </c>
      <c r="M48" s="199">
        <v>3700000</v>
      </c>
      <c r="N48" s="188">
        <v>28020</v>
      </c>
      <c r="O48" s="200">
        <v>44176</v>
      </c>
      <c r="P48" s="199">
        <v>3700000</v>
      </c>
      <c r="Q48" s="199">
        <f t="shared" si="2"/>
        <v>0</v>
      </c>
      <c r="R48" s="186" t="s">
        <v>668</v>
      </c>
      <c r="S48" s="186" t="s">
        <v>669</v>
      </c>
      <c r="T48" s="199">
        <v>2112395</v>
      </c>
      <c r="U48" s="199">
        <f t="shared" si="3"/>
        <v>1587605</v>
      </c>
      <c r="V48" s="223"/>
    </row>
    <row r="49" spans="1:22" s="198" customFormat="1" ht="42" customHeight="1" x14ac:dyDescent="0.3">
      <c r="A49" s="194" t="s">
        <v>429</v>
      </c>
      <c r="B49" s="194" t="s">
        <v>548</v>
      </c>
      <c r="C49" s="226" t="s">
        <v>379</v>
      </c>
      <c r="D49" s="187" t="s">
        <v>649</v>
      </c>
      <c r="E49" s="187" t="s">
        <v>65</v>
      </c>
      <c r="F49" s="186" t="s">
        <v>271</v>
      </c>
      <c r="G49" s="186">
        <v>81112100</v>
      </c>
      <c r="H49" s="186" t="s">
        <v>435</v>
      </c>
      <c r="I49" s="185" t="s">
        <v>531</v>
      </c>
      <c r="J49" s="186" t="s">
        <v>146</v>
      </c>
      <c r="K49" s="187" t="s">
        <v>86</v>
      </c>
      <c r="L49" s="186" t="s">
        <v>296</v>
      </c>
      <c r="M49" s="199">
        <v>418105</v>
      </c>
      <c r="N49" s="196" t="s">
        <v>670</v>
      </c>
      <c r="O49" s="210" t="s">
        <v>671</v>
      </c>
      <c r="P49" s="199">
        <v>418105</v>
      </c>
      <c r="Q49" s="199">
        <f t="shared" si="2"/>
        <v>0</v>
      </c>
      <c r="R49" s="186" t="s">
        <v>672</v>
      </c>
      <c r="S49" s="186" t="s">
        <v>634</v>
      </c>
      <c r="T49" s="199">
        <v>418105</v>
      </c>
      <c r="U49" s="199">
        <f t="shared" si="3"/>
        <v>0</v>
      </c>
      <c r="V49" s="223"/>
    </row>
    <row r="50" spans="1:22" s="198" customFormat="1" ht="60" x14ac:dyDescent="0.3">
      <c r="A50" s="215" t="s">
        <v>319</v>
      </c>
      <c r="B50" s="187" t="s">
        <v>557</v>
      </c>
      <c r="C50" s="226" t="s">
        <v>379</v>
      </c>
      <c r="D50" s="188" t="s">
        <v>673</v>
      </c>
      <c r="E50" s="188" t="s">
        <v>65</v>
      </c>
      <c r="F50" s="188" t="s">
        <v>144</v>
      </c>
      <c r="G50" s="186" t="s">
        <v>674</v>
      </c>
      <c r="H50" s="186" t="s">
        <v>675</v>
      </c>
      <c r="I50" s="219" t="s">
        <v>531</v>
      </c>
      <c r="J50" s="186" t="s">
        <v>146</v>
      </c>
      <c r="K50" s="196" t="s">
        <v>676</v>
      </c>
      <c r="L50" s="196" t="s">
        <v>148</v>
      </c>
      <c r="M50" s="199">
        <v>5460000</v>
      </c>
      <c r="N50" s="188">
        <v>29920</v>
      </c>
      <c r="O50" s="201">
        <v>44186</v>
      </c>
      <c r="P50" s="214">
        <v>5460000</v>
      </c>
      <c r="Q50" s="199">
        <f t="shared" si="2"/>
        <v>0</v>
      </c>
      <c r="R50" s="196" t="s">
        <v>677</v>
      </c>
      <c r="S50" s="196" t="s">
        <v>678</v>
      </c>
      <c r="T50" s="199">
        <v>5460000</v>
      </c>
      <c r="U50" s="199">
        <f t="shared" si="3"/>
        <v>0</v>
      </c>
      <c r="V50" s="223"/>
    </row>
    <row r="51" spans="1:22" s="198" customFormat="1" ht="60" x14ac:dyDescent="0.3">
      <c r="A51" s="215" t="s">
        <v>319</v>
      </c>
      <c r="B51" s="187" t="s">
        <v>557</v>
      </c>
      <c r="C51" s="226" t="s">
        <v>379</v>
      </c>
      <c r="D51" s="188" t="s">
        <v>673</v>
      </c>
      <c r="E51" s="188" t="s">
        <v>65</v>
      </c>
      <c r="F51" s="188" t="s">
        <v>144</v>
      </c>
      <c r="G51" s="186" t="s">
        <v>674</v>
      </c>
      <c r="H51" s="186" t="s">
        <v>675</v>
      </c>
      <c r="I51" s="219" t="s">
        <v>650</v>
      </c>
      <c r="J51" s="186" t="s">
        <v>146</v>
      </c>
      <c r="K51" s="196" t="s">
        <v>676</v>
      </c>
      <c r="L51" s="196" t="s">
        <v>148</v>
      </c>
      <c r="M51" s="199">
        <v>18381650</v>
      </c>
      <c r="N51" s="188">
        <v>29920</v>
      </c>
      <c r="O51" s="201">
        <v>44186</v>
      </c>
      <c r="P51" s="214">
        <v>18381650</v>
      </c>
      <c r="Q51" s="199">
        <f t="shared" si="2"/>
        <v>0</v>
      </c>
      <c r="R51" s="196" t="s">
        <v>677</v>
      </c>
      <c r="S51" s="196" t="s">
        <v>678</v>
      </c>
      <c r="T51" s="199">
        <v>18381650</v>
      </c>
      <c r="U51" s="199">
        <f t="shared" si="3"/>
        <v>0</v>
      </c>
      <c r="V51" s="223"/>
    </row>
    <row r="52" spans="1:22" s="198" customFormat="1" ht="75" x14ac:dyDescent="0.3">
      <c r="A52" s="194" t="s">
        <v>366</v>
      </c>
      <c r="B52" s="196" t="s">
        <v>542</v>
      </c>
      <c r="C52" s="226" t="s">
        <v>379</v>
      </c>
      <c r="D52" s="187" t="s">
        <v>679</v>
      </c>
      <c r="E52" s="187" t="s">
        <v>65</v>
      </c>
      <c r="F52" s="187" t="s">
        <v>680</v>
      </c>
      <c r="G52" s="186" t="s">
        <v>681</v>
      </c>
      <c r="H52" s="186" t="s">
        <v>682</v>
      </c>
      <c r="I52" s="185" t="s">
        <v>531</v>
      </c>
      <c r="J52" s="186" t="s">
        <v>257</v>
      </c>
      <c r="K52" s="187" t="s">
        <v>683</v>
      </c>
      <c r="L52" s="186" t="s">
        <v>257</v>
      </c>
      <c r="M52" s="199">
        <v>11414090.27</v>
      </c>
      <c r="N52" s="188">
        <v>30820</v>
      </c>
      <c r="O52" s="200">
        <v>44188</v>
      </c>
      <c r="P52" s="214">
        <v>11414090.27</v>
      </c>
      <c r="Q52" s="199">
        <f t="shared" si="2"/>
        <v>0</v>
      </c>
      <c r="R52" s="186" t="s">
        <v>684</v>
      </c>
      <c r="S52" s="186" t="s">
        <v>685</v>
      </c>
      <c r="T52" s="199">
        <v>668346.27</v>
      </c>
      <c r="U52" s="199">
        <f t="shared" si="3"/>
        <v>10745744</v>
      </c>
      <c r="V52" s="225" t="s">
        <v>686</v>
      </c>
    </row>
    <row r="53" spans="1:22" s="198" customFormat="1" ht="42" customHeight="1" x14ac:dyDescent="0.3">
      <c r="A53" s="194" t="s">
        <v>440</v>
      </c>
      <c r="B53" s="187" t="s">
        <v>557</v>
      </c>
      <c r="C53" s="226" t="s">
        <v>379</v>
      </c>
      <c r="D53" s="187" t="s">
        <v>649</v>
      </c>
      <c r="E53" s="187" t="s">
        <v>65</v>
      </c>
      <c r="F53" s="187" t="s">
        <v>144</v>
      </c>
      <c r="G53" s="186">
        <v>92101501</v>
      </c>
      <c r="H53" s="186" t="s">
        <v>441</v>
      </c>
      <c r="I53" s="185" t="s">
        <v>650</v>
      </c>
      <c r="J53" s="186" t="s">
        <v>146</v>
      </c>
      <c r="K53" s="187" t="s">
        <v>86</v>
      </c>
      <c r="L53" s="196" t="s">
        <v>148</v>
      </c>
      <c r="M53" s="199">
        <v>9021001</v>
      </c>
      <c r="N53" s="188">
        <v>10220</v>
      </c>
      <c r="O53" s="200" t="s">
        <v>687</v>
      </c>
      <c r="P53" s="214">
        <v>9021001</v>
      </c>
      <c r="Q53" s="199">
        <f t="shared" si="2"/>
        <v>0</v>
      </c>
      <c r="R53" s="186" t="s">
        <v>688</v>
      </c>
      <c r="S53" s="186" t="s">
        <v>689</v>
      </c>
      <c r="T53" s="199"/>
      <c r="U53" s="199">
        <f t="shared" si="3"/>
        <v>9021001</v>
      </c>
      <c r="V53" s="223"/>
    </row>
    <row r="54" spans="1:22" s="198" customFormat="1" ht="75" x14ac:dyDescent="0.3">
      <c r="A54" s="194" t="s">
        <v>336</v>
      </c>
      <c r="B54" s="194" t="s">
        <v>527</v>
      </c>
      <c r="C54" s="226" t="s">
        <v>379</v>
      </c>
      <c r="D54" s="187" t="s">
        <v>690</v>
      </c>
      <c r="E54" s="187" t="s">
        <v>65</v>
      </c>
      <c r="F54" s="187" t="s">
        <v>241</v>
      </c>
      <c r="G54" s="186">
        <v>53102710</v>
      </c>
      <c r="H54" s="186" t="s">
        <v>691</v>
      </c>
      <c r="I54" s="185" t="s">
        <v>531</v>
      </c>
      <c r="J54" s="186" t="s">
        <v>146</v>
      </c>
      <c r="K54" s="187" t="s">
        <v>158</v>
      </c>
      <c r="L54" s="186" t="s">
        <v>243</v>
      </c>
      <c r="M54" s="199">
        <v>17512720</v>
      </c>
      <c r="N54" s="196" t="s">
        <v>692</v>
      </c>
      <c r="O54" s="210" t="s">
        <v>693</v>
      </c>
      <c r="P54" s="214">
        <v>17512720</v>
      </c>
      <c r="Q54" s="199">
        <f t="shared" si="2"/>
        <v>0</v>
      </c>
      <c r="R54" s="196" t="s">
        <v>694</v>
      </c>
      <c r="S54" s="196" t="s">
        <v>695</v>
      </c>
      <c r="T54" s="199">
        <v>17512720</v>
      </c>
      <c r="U54" s="199">
        <f t="shared" si="3"/>
        <v>0</v>
      </c>
      <c r="V54" s="223"/>
    </row>
    <row r="55" spans="1:22" s="198" customFormat="1" ht="35.25" customHeight="1" x14ac:dyDescent="0.3">
      <c r="A55" s="215" t="s">
        <v>324</v>
      </c>
      <c r="B55" s="187" t="s">
        <v>557</v>
      </c>
      <c r="C55" s="226" t="s">
        <v>379</v>
      </c>
      <c r="D55" s="188" t="s">
        <v>696</v>
      </c>
      <c r="E55" s="188" t="s">
        <v>65</v>
      </c>
      <c r="F55" s="188" t="s">
        <v>144</v>
      </c>
      <c r="G55" s="186">
        <v>50201713</v>
      </c>
      <c r="H55" s="186" t="s">
        <v>326</v>
      </c>
      <c r="I55" s="218" t="s">
        <v>650</v>
      </c>
      <c r="J55" s="186" t="s">
        <v>146</v>
      </c>
      <c r="K55" s="188" t="s">
        <v>158</v>
      </c>
      <c r="L55" s="196" t="s">
        <v>148</v>
      </c>
      <c r="M55" s="199">
        <v>84085</v>
      </c>
      <c r="N55" s="188">
        <v>11420</v>
      </c>
      <c r="O55" s="201">
        <v>43950</v>
      </c>
      <c r="P55" s="214">
        <v>84085</v>
      </c>
      <c r="Q55" s="199">
        <f t="shared" si="2"/>
        <v>0</v>
      </c>
      <c r="R55" s="196" t="s">
        <v>697</v>
      </c>
      <c r="S55" s="196" t="s">
        <v>458</v>
      </c>
      <c r="T55" s="199">
        <f>47292.71+36040.72</f>
        <v>83333.429999999993</v>
      </c>
      <c r="U55" s="199">
        <f t="shared" si="3"/>
        <v>751.57000000000698</v>
      </c>
      <c r="V55" s="223"/>
    </row>
    <row r="56" spans="1:22" s="198" customFormat="1" ht="41.25" customHeight="1" x14ac:dyDescent="0.3">
      <c r="A56" s="194" t="s">
        <v>329</v>
      </c>
      <c r="B56" s="187" t="s">
        <v>557</v>
      </c>
      <c r="C56" s="226" t="s">
        <v>379</v>
      </c>
      <c r="D56" s="187" t="s">
        <v>690</v>
      </c>
      <c r="E56" s="187" t="s">
        <v>65</v>
      </c>
      <c r="F56" s="187" t="s">
        <v>144</v>
      </c>
      <c r="G56" s="186">
        <v>50161814</v>
      </c>
      <c r="H56" s="186" t="s">
        <v>334</v>
      </c>
      <c r="I56" s="185" t="s">
        <v>650</v>
      </c>
      <c r="J56" s="186" t="s">
        <v>146</v>
      </c>
      <c r="K56" s="187" t="s">
        <v>158</v>
      </c>
      <c r="L56" s="196" t="s">
        <v>148</v>
      </c>
      <c r="M56" s="199">
        <v>109464.9</v>
      </c>
      <c r="N56" s="188">
        <v>11420</v>
      </c>
      <c r="O56" s="201">
        <v>43950</v>
      </c>
      <c r="P56" s="214">
        <f>57178.85+52286.05</f>
        <v>109464.9</v>
      </c>
      <c r="Q56" s="199">
        <f t="shared" si="2"/>
        <v>0</v>
      </c>
      <c r="R56" s="196" t="s">
        <v>697</v>
      </c>
      <c r="S56" s="196" t="s">
        <v>458</v>
      </c>
      <c r="T56" s="199">
        <v>109464.9</v>
      </c>
      <c r="U56" s="199">
        <f t="shared" si="3"/>
        <v>0</v>
      </c>
      <c r="V56" s="223"/>
    </row>
    <row r="57" spans="1:22" s="198" customFormat="1" ht="41.25" customHeight="1" x14ac:dyDescent="0.3">
      <c r="A57" s="194" t="s">
        <v>329</v>
      </c>
      <c r="B57" s="187" t="s">
        <v>557</v>
      </c>
      <c r="C57" s="226" t="s">
        <v>379</v>
      </c>
      <c r="D57" s="187" t="s">
        <v>690</v>
      </c>
      <c r="E57" s="187" t="s">
        <v>65</v>
      </c>
      <c r="F57" s="187" t="s">
        <v>144</v>
      </c>
      <c r="G57" s="186">
        <v>50201706</v>
      </c>
      <c r="H57" s="186" t="s">
        <v>698</v>
      </c>
      <c r="I57" s="185" t="s">
        <v>650</v>
      </c>
      <c r="J57" s="186" t="s">
        <v>146</v>
      </c>
      <c r="K57" s="187" t="s">
        <v>158</v>
      </c>
      <c r="L57" s="196" t="s">
        <v>148</v>
      </c>
      <c r="M57" s="199">
        <v>1025575.95</v>
      </c>
      <c r="N57" s="188">
        <v>11420</v>
      </c>
      <c r="O57" s="201">
        <v>43950</v>
      </c>
      <c r="P57" s="214">
        <f>1077862-52286.05</f>
        <v>1025575.95</v>
      </c>
      <c r="Q57" s="199">
        <f t="shared" si="2"/>
        <v>0</v>
      </c>
      <c r="R57" s="196" t="s">
        <v>697</v>
      </c>
      <c r="S57" s="196" t="s">
        <v>458</v>
      </c>
      <c r="T57" s="199">
        <f>533680.8+491455.1</f>
        <v>1025135.9</v>
      </c>
      <c r="U57" s="199">
        <f t="shared" si="3"/>
        <v>440.04999999993015</v>
      </c>
      <c r="V57" s="223"/>
    </row>
    <row r="58" spans="1:22" s="198" customFormat="1" ht="41.25" customHeight="1" x14ac:dyDescent="0.3">
      <c r="A58" s="194" t="s">
        <v>338</v>
      </c>
      <c r="B58" s="187" t="s">
        <v>557</v>
      </c>
      <c r="C58" s="226" t="s">
        <v>379</v>
      </c>
      <c r="D58" s="187" t="s">
        <v>699</v>
      </c>
      <c r="E58" s="187" t="s">
        <v>65</v>
      </c>
      <c r="F58" s="187" t="s">
        <v>144</v>
      </c>
      <c r="G58" s="186" t="s">
        <v>700</v>
      </c>
      <c r="H58" s="186" t="s">
        <v>349</v>
      </c>
      <c r="I58" s="185" t="s">
        <v>531</v>
      </c>
      <c r="J58" s="186" t="s">
        <v>146</v>
      </c>
      <c r="K58" s="187" t="s">
        <v>158</v>
      </c>
      <c r="L58" s="196" t="s">
        <v>148</v>
      </c>
      <c r="M58" s="199">
        <v>941076</v>
      </c>
      <c r="N58" s="188">
        <v>11420</v>
      </c>
      <c r="O58" s="201">
        <v>43950</v>
      </c>
      <c r="P58" s="214">
        <v>941076</v>
      </c>
      <c r="Q58" s="199">
        <f t="shared" si="2"/>
        <v>0</v>
      </c>
      <c r="R58" s="196" t="s">
        <v>697</v>
      </c>
      <c r="S58" s="196" t="s">
        <v>458</v>
      </c>
      <c r="T58" s="199">
        <f>65148+616582.2</f>
        <v>681730.2</v>
      </c>
      <c r="U58" s="199">
        <f t="shared" si="3"/>
        <v>259345.80000000005</v>
      </c>
      <c r="V58" s="223"/>
    </row>
    <row r="59" spans="1:22" s="198" customFormat="1" ht="41.25" customHeight="1" x14ac:dyDescent="0.3">
      <c r="A59" s="194" t="s">
        <v>355</v>
      </c>
      <c r="B59" s="187" t="s">
        <v>557</v>
      </c>
      <c r="C59" s="226" t="s">
        <v>379</v>
      </c>
      <c r="D59" s="187" t="s">
        <v>699</v>
      </c>
      <c r="E59" s="187" t="s">
        <v>65</v>
      </c>
      <c r="F59" s="187" t="s">
        <v>144</v>
      </c>
      <c r="G59" s="186">
        <v>12352104</v>
      </c>
      <c r="H59" s="186" t="s">
        <v>357</v>
      </c>
      <c r="I59" s="185" t="s">
        <v>531</v>
      </c>
      <c r="J59" s="186" t="s">
        <v>146</v>
      </c>
      <c r="K59" s="187" t="s">
        <v>158</v>
      </c>
      <c r="L59" s="196" t="s">
        <v>148</v>
      </c>
      <c r="M59" s="199">
        <f>9166+5260.48</f>
        <v>14426.48</v>
      </c>
      <c r="N59" s="188">
        <v>11420</v>
      </c>
      <c r="O59" s="201">
        <v>43950</v>
      </c>
      <c r="P59" s="214">
        <v>14426.48</v>
      </c>
      <c r="Q59" s="199">
        <f t="shared" si="2"/>
        <v>0</v>
      </c>
      <c r="R59" s="196" t="s">
        <v>697</v>
      </c>
      <c r="S59" s="196" t="s">
        <v>458</v>
      </c>
      <c r="T59" s="199">
        <v>14426.48</v>
      </c>
      <c r="U59" s="199">
        <f t="shared" si="3"/>
        <v>0</v>
      </c>
      <c r="V59" s="223"/>
    </row>
    <row r="60" spans="1:22" s="198" customFormat="1" ht="41.25" customHeight="1" x14ac:dyDescent="0.3">
      <c r="A60" s="194" t="s">
        <v>355</v>
      </c>
      <c r="B60" s="187" t="s">
        <v>557</v>
      </c>
      <c r="C60" s="226" t="s">
        <v>379</v>
      </c>
      <c r="D60" s="187" t="s">
        <v>699</v>
      </c>
      <c r="E60" s="187" t="s">
        <v>65</v>
      </c>
      <c r="F60" s="187" t="s">
        <v>144</v>
      </c>
      <c r="G60" s="186">
        <v>47131700</v>
      </c>
      <c r="H60" s="186" t="s">
        <v>358</v>
      </c>
      <c r="I60" s="185" t="s">
        <v>531</v>
      </c>
      <c r="J60" s="186" t="s">
        <v>146</v>
      </c>
      <c r="K60" s="187" t="s">
        <v>158</v>
      </c>
      <c r="L60" s="196" t="s">
        <v>148</v>
      </c>
      <c r="M60" s="199">
        <f>271936-5260.48</f>
        <v>266675.52</v>
      </c>
      <c r="N60" s="188">
        <v>11420</v>
      </c>
      <c r="O60" s="201">
        <v>43950</v>
      </c>
      <c r="P60" s="214">
        <v>266675.52</v>
      </c>
      <c r="Q60" s="199">
        <f t="shared" si="2"/>
        <v>0</v>
      </c>
      <c r="R60" s="196" t="s">
        <v>697</v>
      </c>
      <c r="S60" s="196" t="s">
        <v>458</v>
      </c>
      <c r="T60" s="199">
        <f>5919+260756.52</f>
        <v>266675.52</v>
      </c>
      <c r="U60" s="199">
        <f t="shared" si="3"/>
        <v>0</v>
      </c>
      <c r="V60" s="223"/>
    </row>
    <row r="61" spans="1:22" s="198" customFormat="1" ht="41.25" customHeight="1" x14ac:dyDescent="0.3">
      <c r="A61" s="194" t="s">
        <v>355</v>
      </c>
      <c r="B61" s="187" t="s">
        <v>557</v>
      </c>
      <c r="C61" s="226" t="s">
        <v>379</v>
      </c>
      <c r="D61" s="187" t="s">
        <v>699</v>
      </c>
      <c r="E61" s="187" t="s">
        <v>65</v>
      </c>
      <c r="F61" s="187" t="s">
        <v>144</v>
      </c>
      <c r="G61" s="186">
        <v>47131800</v>
      </c>
      <c r="H61" s="186" t="s">
        <v>359</v>
      </c>
      <c r="I61" s="185" t="s">
        <v>531</v>
      </c>
      <c r="J61" s="186" t="s">
        <v>146</v>
      </c>
      <c r="K61" s="187" t="s">
        <v>158</v>
      </c>
      <c r="L61" s="196" t="s">
        <v>148</v>
      </c>
      <c r="M61" s="199">
        <v>892419</v>
      </c>
      <c r="N61" s="188">
        <v>11420</v>
      </c>
      <c r="O61" s="201">
        <v>43950</v>
      </c>
      <c r="P61" s="214">
        <v>892419</v>
      </c>
      <c r="Q61" s="199">
        <f t="shared" si="2"/>
        <v>0</v>
      </c>
      <c r="R61" s="196" t="s">
        <v>697</v>
      </c>
      <c r="S61" s="196" t="s">
        <v>458</v>
      </c>
      <c r="T61" s="199">
        <f>180525.77+711893.23</f>
        <v>892419</v>
      </c>
      <c r="U61" s="199">
        <f t="shared" si="3"/>
        <v>0</v>
      </c>
      <c r="V61" s="223"/>
    </row>
    <row r="62" spans="1:22" s="198" customFormat="1" ht="41.25" customHeight="1" x14ac:dyDescent="0.3">
      <c r="A62" s="194" t="s">
        <v>360</v>
      </c>
      <c r="B62" s="187" t="s">
        <v>557</v>
      </c>
      <c r="C62" s="226" t="s">
        <v>379</v>
      </c>
      <c r="D62" s="187" t="s">
        <v>699</v>
      </c>
      <c r="E62" s="187" t="s">
        <v>65</v>
      </c>
      <c r="F62" s="187" t="s">
        <v>144</v>
      </c>
      <c r="G62" s="186" t="s">
        <v>701</v>
      </c>
      <c r="H62" s="186" t="s">
        <v>362</v>
      </c>
      <c r="I62" s="185" t="s">
        <v>531</v>
      </c>
      <c r="J62" s="186" t="s">
        <v>146</v>
      </c>
      <c r="K62" s="187" t="s">
        <v>158</v>
      </c>
      <c r="L62" s="196" t="s">
        <v>148</v>
      </c>
      <c r="M62" s="199">
        <v>300048</v>
      </c>
      <c r="N62" s="188">
        <v>11420</v>
      </c>
      <c r="O62" s="201">
        <v>43950</v>
      </c>
      <c r="P62" s="214">
        <v>300048</v>
      </c>
      <c r="Q62" s="199">
        <f t="shared" si="2"/>
        <v>0</v>
      </c>
      <c r="R62" s="196" t="s">
        <v>697</v>
      </c>
      <c r="S62" s="196" t="s">
        <v>458</v>
      </c>
      <c r="T62" s="199">
        <f>49404.24+250643.76</f>
        <v>300048</v>
      </c>
      <c r="U62" s="199">
        <f t="shared" si="3"/>
        <v>0</v>
      </c>
      <c r="V62" s="223"/>
    </row>
    <row r="63" spans="1:22" s="198" customFormat="1" ht="41.25" customHeight="1" x14ac:dyDescent="0.3">
      <c r="A63" s="194" t="s">
        <v>440</v>
      </c>
      <c r="B63" s="187" t="s">
        <v>557</v>
      </c>
      <c r="C63" s="226" t="s">
        <v>379</v>
      </c>
      <c r="D63" s="187" t="s">
        <v>649</v>
      </c>
      <c r="E63" s="187" t="s">
        <v>65</v>
      </c>
      <c r="F63" s="187" t="s">
        <v>144</v>
      </c>
      <c r="G63" s="186">
        <v>76111501</v>
      </c>
      <c r="H63" s="186" t="s">
        <v>448</v>
      </c>
      <c r="I63" s="185" t="s">
        <v>650</v>
      </c>
      <c r="J63" s="186" t="s">
        <v>146</v>
      </c>
      <c r="K63" s="187" t="s">
        <v>86</v>
      </c>
      <c r="L63" s="196" t="s">
        <v>148</v>
      </c>
      <c r="M63" s="199">
        <f>3156938.4+153648.85</f>
        <v>3310587.25</v>
      </c>
      <c r="N63" s="188">
        <v>11420</v>
      </c>
      <c r="O63" s="201">
        <v>43950</v>
      </c>
      <c r="P63" s="199">
        <f>3156938.4+153648.85</f>
        <v>3310587.25</v>
      </c>
      <c r="Q63" s="199">
        <f t="shared" si="2"/>
        <v>0</v>
      </c>
      <c r="R63" s="196" t="s">
        <v>697</v>
      </c>
      <c r="S63" s="196" t="s">
        <v>458</v>
      </c>
      <c r="T63" s="199">
        <f>3310586.97+0.28</f>
        <v>3310587.25</v>
      </c>
      <c r="U63" s="199">
        <f t="shared" si="3"/>
        <v>0</v>
      </c>
      <c r="V63" s="223"/>
    </row>
    <row r="64" spans="1:22" s="198" customFormat="1" ht="46.5" customHeight="1" x14ac:dyDescent="0.3">
      <c r="A64" s="191" t="s">
        <v>440</v>
      </c>
      <c r="B64" s="187" t="s">
        <v>557</v>
      </c>
      <c r="C64" s="226" t="s">
        <v>379</v>
      </c>
      <c r="D64" s="187" t="s">
        <v>649</v>
      </c>
      <c r="E64" s="187" t="s">
        <v>65</v>
      </c>
      <c r="F64" s="187" t="s">
        <v>144</v>
      </c>
      <c r="G64" s="186">
        <v>47121600</v>
      </c>
      <c r="H64" s="186" t="s">
        <v>455</v>
      </c>
      <c r="I64" s="185" t="s">
        <v>650</v>
      </c>
      <c r="J64" s="186" t="s">
        <v>146</v>
      </c>
      <c r="K64" s="187" t="s">
        <v>86</v>
      </c>
      <c r="L64" s="196" t="s">
        <v>148</v>
      </c>
      <c r="M64" s="199">
        <f>234728+0.28</f>
        <v>234728.28</v>
      </c>
      <c r="N64" s="188">
        <v>11420</v>
      </c>
      <c r="O64" s="201">
        <v>43950</v>
      </c>
      <c r="P64" s="199">
        <f>234728+0.28</f>
        <v>234728.28</v>
      </c>
      <c r="Q64" s="199">
        <f t="shared" si="2"/>
        <v>0</v>
      </c>
      <c r="R64" s="196" t="s">
        <v>697</v>
      </c>
      <c r="S64" s="196" t="s">
        <v>458</v>
      </c>
      <c r="T64" s="199">
        <v>234728.28</v>
      </c>
      <c r="U64" s="199">
        <f t="shared" si="3"/>
        <v>0</v>
      </c>
      <c r="V64" s="223"/>
    </row>
    <row r="65" spans="1:22" s="198" customFormat="1" ht="39.75" customHeight="1" x14ac:dyDescent="0.3">
      <c r="A65" s="194" t="s">
        <v>483</v>
      </c>
      <c r="B65" s="187" t="s">
        <v>557</v>
      </c>
      <c r="C65" s="226" t="s">
        <v>379</v>
      </c>
      <c r="D65" s="187" t="s">
        <v>653</v>
      </c>
      <c r="E65" s="187" t="s">
        <v>65</v>
      </c>
      <c r="F65" s="187" t="s">
        <v>144</v>
      </c>
      <c r="G65" s="186">
        <v>72102103</v>
      </c>
      <c r="H65" s="186" t="s">
        <v>486</v>
      </c>
      <c r="I65" s="185" t="s">
        <v>650</v>
      </c>
      <c r="J65" s="187" t="s">
        <v>146</v>
      </c>
      <c r="K65" s="187" t="s">
        <v>86</v>
      </c>
      <c r="L65" s="196" t="s">
        <v>148</v>
      </c>
      <c r="M65" s="199">
        <v>0.23</v>
      </c>
      <c r="N65" s="188">
        <v>11420</v>
      </c>
      <c r="O65" s="201">
        <v>43950</v>
      </c>
      <c r="P65" s="214">
        <v>0.23</v>
      </c>
      <c r="Q65" s="199">
        <f t="shared" si="2"/>
        <v>0</v>
      </c>
      <c r="R65" s="196" t="s">
        <v>697</v>
      </c>
      <c r="S65" s="196" t="s">
        <v>458</v>
      </c>
      <c r="T65" s="199"/>
      <c r="U65" s="199">
        <f t="shared" si="3"/>
        <v>0.23</v>
      </c>
      <c r="V65" s="223"/>
    </row>
    <row r="66" spans="1:22" s="198" customFormat="1" ht="44.25" customHeight="1" x14ac:dyDescent="0.3">
      <c r="A66" s="194" t="s">
        <v>338</v>
      </c>
      <c r="B66" s="187" t="s">
        <v>557</v>
      </c>
      <c r="C66" s="226" t="s">
        <v>379</v>
      </c>
      <c r="D66" s="187" t="s">
        <v>699</v>
      </c>
      <c r="E66" s="187" t="s">
        <v>65</v>
      </c>
      <c r="F66" s="187" t="s">
        <v>144</v>
      </c>
      <c r="G66" s="186" t="s">
        <v>700</v>
      </c>
      <c r="H66" s="186" t="s">
        <v>349</v>
      </c>
      <c r="I66" s="185" t="s">
        <v>531</v>
      </c>
      <c r="J66" s="186" t="s">
        <v>146</v>
      </c>
      <c r="K66" s="187" t="s">
        <v>158</v>
      </c>
      <c r="L66" s="196" t="s">
        <v>148</v>
      </c>
      <c r="M66" s="199">
        <v>157251.64000000001</v>
      </c>
      <c r="N66" s="196">
        <v>20020</v>
      </c>
      <c r="O66" s="210" t="s">
        <v>702</v>
      </c>
      <c r="P66" s="214">
        <v>157251.64000000001</v>
      </c>
      <c r="Q66" s="199">
        <f t="shared" si="2"/>
        <v>0</v>
      </c>
      <c r="R66" s="196" t="s">
        <v>697</v>
      </c>
      <c r="S66" s="196" t="s">
        <v>458</v>
      </c>
      <c r="T66" s="199"/>
      <c r="U66" s="199">
        <f t="shared" si="3"/>
        <v>157251.64000000001</v>
      </c>
      <c r="V66" s="223"/>
    </row>
    <row r="67" spans="1:22" s="198" customFormat="1" ht="30" x14ac:dyDescent="0.3">
      <c r="A67" s="194" t="s">
        <v>355</v>
      </c>
      <c r="B67" s="187" t="s">
        <v>557</v>
      </c>
      <c r="C67" s="226" t="s">
        <v>379</v>
      </c>
      <c r="D67" s="187" t="s">
        <v>699</v>
      </c>
      <c r="E67" s="187" t="s">
        <v>65</v>
      </c>
      <c r="F67" s="187" t="s">
        <v>144</v>
      </c>
      <c r="G67" s="186">
        <v>47131700</v>
      </c>
      <c r="H67" s="186" t="s">
        <v>358</v>
      </c>
      <c r="I67" s="185" t="s">
        <v>531</v>
      </c>
      <c r="J67" s="186" t="s">
        <v>146</v>
      </c>
      <c r="K67" s="187" t="s">
        <v>158</v>
      </c>
      <c r="L67" s="196" t="s">
        <v>148</v>
      </c>
      <c r="M67" s="199">
        <v>149133</v>
      </c>
      <c r="N67" s="196">
        <v>20020</v>
      </c>
      <c r="O67" s="210" t="s">
        <v>702</v>
      </c>
      <c r="P67" s="214">
        <v>149133</v>
      </c>
      <c r="Q67" s="199">
        <f t="shared" si="2"/>
        <v>0</v>
      </c>
      <c r="R67" s="196" t="s">
        <v>697</v>
      </c>
      <c r="S67" s="196" t="s">
        <v>458</v>
      </c>
      <c r="T67" s="199"/>
      <c r="U67" s="199">
        <f t="shared" si="3"/>
        <v>149133</v>
      </c>
      <c r="V67" s="223"/>
    </row>
    <row r="68" spans="1:22" s="198" customFormat="1" ht="30" x14ac:dyDescent="0.3">
      <c r="A68" s="194" t="s">
        <v>360</v>
      </c>
      <c r="B68" s="187" t="s">
        <v>557</v>
      </c>
      <c r="C68" s="226" t="s">
        <v>379</v>
      </c>
      <c r="D68" s="187" t="s">
        <v>699</v>
      </c>
      <c r="E68" s="187" t="s">
        <v>65</v>
      </c>
      <c r="F68" s="187" t="s">
        <v>144</v>
      </c>
      <c r="G68" s="186" t="s">
        <v>701</v>
      </c>
      <c r="H68" s="186" t="s">
        <v>362</v>
      </c>
      <c r="I68" s="185" t="s">
        <v>531</v>
      </c>
      <c r="J68" s="186" t="s">
        <v>146</v>
      </c>
      <c r="K68" s="187" t="s">
        <v>158</v>
      </c>
      <c r="L68" s="196" t="s">
        <v>148</v>
      </c>
      <c r="M68" s="199">
        <v>458110</v>
      </c>
      <c r="N68" s="196">
        <v>20020</v>
      </c>
      <c r="O68" s="210" t="s">
        <v>702</v>
      </c>
      <c r="P68" s="214">
        <v>458110</v>
      </c>
      <c r="Q68" s="199">
        <f t="shared" si="2"/>
        <v>0</v>
      </c>
      <c r="R68" s="196" t="s">
        <v>697</v>
      </c>
      <c r="S68" s="196" t="s">
        <v>458</v>
      </c>
      <c r="T68" s="199"/>
      <c r="U68" s="199">
        <f t="shared" si="3"/>
        <v>458110</v>
      </c>
      <c r="V68" s="223"/>
    </row>
    <row r="69" spans="1:22" ht="73.5" customHeight="1" x14ac:dyDescent="0.3">
      <c r="T69" s="224"/>
    </row>
    <row r="70" spans="1:22" s="266" customFormat="1" ht="73.5" customHeight="1" x14ac:dyDescent="0.3">
      <c r="A70" s="3"/>
      <c r="B70" s="3"/>
      <c r="T70" s="267"/>
      <c r="U70" s="267"/>
    </row>
    <row r="71" spans="1:22" ht="73.5" customHeight="1" x14ac:dyDescent="0.5">
      <c r="H71" s="228"/>
      <c r="J71" s="229"/>
      <c r="P71" s="244"/>
      <c r="T71" s="244"/>
    </row>
    <row r="72" spans="1:22" ht="73.5" customHeight="1" x14ac:dyDescent="0.3">
      <c r="P72" s="224"/>
      <c r="T72" s="224"/>
      <c r="U72" s="224"/>
    </row>
  </sheetData>
  <autoFilter ref="A3:V72" xr:uid="{00000000-0009-0000-0000-000001000000}"/>
  <conditionalFormatting sqref="H35">
    <cfRule type="duplicateValues" dxfId="48" priority="15"/>
  </conditionalFormatting>
  <conditionalFormatting sqref="H35">
    <cfRule type="duplicateValues" dxfId="47" priority="16"/>
  </conditionalFormatting>
  <conditionalFormatting sqref="H36">
    <cfRule type="duplicateValues" dxfId="46" priority="13"/>
  </conditionalFormatting>
  <conditionalFormatting sqref="H36">
    <cfRule type="duplicateValues" dxfId="45" priority="14"/>
  </conditionalFormatting>
  <conditionalFormatting sqref="H37">
    <cfRule type="duplicateValues" dxfId="44" priority="11"/>
  </conditionalFormatting>
  <conditionalFormatting sqref="H37">
    <cfRule type="duplicateValues" dxfId="43" priority="12"/>
  </conditionalFormatting>
  <conditionalFormatting sqref="H38">
    <cfRule type="duplicateValues" dxfId="42" priority="9"/>
  </conditionalFormatting>
  <conditionalFormatting sqref="H38">
    <cfRule type="duplicateValues" dxfId="41" priority="10"/>
  </conditionalFormatting>
  <conditionalFormatting sqref="H39">
    <cfRule type="duplicateValues" dxfId="40" priority="7"/>
  </conditionalFormatting>
  <conditionalFormatting sqref="H39">
    <cfRule type="duplicateValues" dxfId="39" priority="8"/>
  </conditionalFormatting>
  <conditionalFormatting sqref="H30">
    <cfRule type="duplicateValues" dxfId="38" priority="5"/>
  </conditionalFormatting>
  <conditionalFormatting sqref="H30">
    <cfRule type="duplicateValues" dxfId="37" priority="6"/>
  </conditionalFormatting>
  <conditionalFormatting sqref="H31">
    <cfRule type="duplicateValues" dxfId="36" priority="3"/>
  </conditionalFormatting>
  <conditionalFormatting sqref="H31">
    <cfRule type="duplicateValues" dxfId="35" priority="4"/>
  </conditionalFormatting>
  <conditionalFormatting sqref="H40:H41">
    <cfRule type="duplicateValues" dxfId="34" priority="1"/>
  </conditionalFormatting>
  <conditionalFormatting sqref="H40:H41">
    <cfRule type="duplicateValues" dxfId="33" priority="2"/>
  </conditionalFormatting>
  <dataValidations count="1">
    <dataValidation type="list" allowBlank="1" showInputMessage="1" showErrorMessage="1" sqref="C34:C41" xr:uid="{00000000-0002-0000-0100-000000000000}">
      <formula1>PROYECTO</formula1>
    </dataValidation>
  </dataValidations>
  <pageMargins left="0.7" right="0.7" top="0.75" bottom="0.75" header="0.3" footer="0.3"/>
  <pageSetup paperSize="9" orientation="portrait"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O45"/>
  <sheetViews>
    <sheetView zoomScale="60" zoomScaleNormal="60" workbookViewId="0">
      <selection activeCell="B8" sqref="B8"/>
    </sheetView>
  </sheetViews>
  <sheetFormatPr baseColWidth="10" defaultColWidth="11.44140625" defaultRowHeight="14.4" x14ac:dyDescent="0.3"/>
  <cols>
    <col min="1" max="1" width="9.5546875" customWidth="1"/>
    <col min="2" max="2" width="55.44140625" customWidth="1"/>
    <col min="7" max="7" width="20" customWidth="1"/>
    <col min="8" max="8" width="7.44140625" style="3" customWidth="1"/>
    <col min="9" max="9" width="10" customWidth="1"/>
    <col min="10" max="10" width="42.44140625" customWidth="1"/>
    <col min="11" max="11" width="9.33203125" customWidth="1"/>
    <col min="12" max="12" width="10" customWidth="1"/>
    <col min="13" max="13" width="9.5546875" customWidth="1"/>
    <col min="14" max="14" width="13" style="3" customWidth="1"/>
    <col min="15" max="15" width="17.33203125" customWidth="1"/>
  </cols>
  <sheetData>
    <row r="1" spans="1:15" ht="65.25" customHeight="1" x14ac:dyDescent="0.3">
      <c r="A1" s="310" t="s">
        <v>703</v>
      </c>
      <c r="B1" s="310"/>
      <c r="C1" s="310"/>
      <c r="D1" s="310"/>
      <c r="E1" s="310"/>
      <c r="F1" s="310"/>
      <c r="G1" s="310"/>
      <c r="H1"/>
      <c r="I1" s="311" t="s">
        <v>223</v>
      </c>
      <c r="J1" s="311"/>
      <c r="K1" s="311"/>
      <c r="L1" s="311"/>
      <c r="M1" s="311"/>
      <c r="N1" s="311"/>
      <c r="O1" s="311"/>
    </row>
    <row r="2" spans="1:15" ht="31.2" x14ac:dyDescent="0.3">
      <c r="A2" s="153" t="s">
        <v>2</v>
      </c>
      <c r="B2" s="131" t="s">
        <v>704</v>
      </c>
      <c r="C2" s="131" t="s">
        <v>705</v>
      </c>
      <c r="D2" s="131" t="s">
        <v>706</v>
      </c>
      <c r="E2" s="131" t="s">
        <v>707</v>
      </c>
      <c r="F2" s="131" t="s">
        <v>708</v>
      </c>
      <c r="G2" s="131" t="s">
        <v>709</v>
      </c>
      <c r="H2"/>
      <c r="I2" s="152" t="s">
        <v>2</v>
      </c>
      <c r="J2" s="53" t="s">
        <v>710</v>
      </c>
      <c r="K2" s="54" t="s">
        <v>705</v>
      </c>
      <c r="L2" s="54" t="s">
        <v>706</v>
      </c>
      <c r="M2" s="54" t="s">
        <v>707</v>
      </c>
      <c r="N2" s="54" t="s">
        <v>708</v>
      </c>
      <c r="O2" s="154" t="s">
        <v>711</v>
      </c>
    </row>
    <row r="3" spans="1:15" s="1" customFormat="1" ht="55.2" x14ac:dyDescent="0.3">
      <c r="A3" s="2" t="s">
        <v>712</v>
      </c>
      <c r="B3" s="132" t="s">
        <v>42</v>
      </c>
      <c r="C3" s="56">
        <v>56</v>
      </c>
      <c r="D3" s="56">
        <v>23</v>
      </c>
      <c r="E3" s="56">
        <v>17</v>
      </c>
      <c r="F3" s="4"/>
      <c r="G3" s="2">
        <f>SUM(C3:F3)</f>
        <v>96</v>
      </c>
      <c r="I3" s="120" t="s">
        <v>713</v>
      </c>
      <c r="J3" s="55" t="s">
        <v>714</v>
      </c>
      <c r="K3" s="57">
        <v>0.5</v>
      </c>
      <c r="L3" s="57">
        <v>0.5</v>
      </c>
      <c r="M3" s="4"/>
      <c r="N3" s="4"/>
      <c r="O3" s="121">
        <v>1</v>
      </c>
    </row>
    <row r="4" spans="1:15" ht="68.25" customHeight="1" x14ac:dyDescent="0.3">
      <c r="A4" s="2" t="s">
        <v>712</v>
      </c>
      <c r="B4" s="132" t="s">
        <v>71</v>
      </c>
      <c r="C4" s="56">
        <v>50</v>
      </c>
      <c r="D4" s="56">
        <v>50</v>
      </c>
      <c r="E4" s="56">
        <v>50</v>
      </c>
      <c r="F4" s="56">
        <v>50</v>
      </c>
      <c r="G4" s="2">
        <f t="shared" ref="G4:G19" si="0">SUM(C4:F4)</f>
        <v>200</v>
      </c>
      <c r="H4"/>
      <c r="I4" s="120" t="s">
        <v>715</v>
      </c>
      <c r="J4" s="122" t="s">
        <v>225</v>
      </c>
      <c r="K4" s="123">
        <v>0.125</v>
      </c>
      <c r="L4" s="123">
        <v>0.125</v>
      </c>
      <c r="M4" s="123">
        <v>0.125</v>
      </c>
      <c r="N4" s="123">
        <v>0.125</v>
      </c>
      <c r="O4" s="124">
        <v>1</v>
      </c>
    </row>
    <row r="5" spans="1:15" ht="44.25" customHeight="1" x14ac:dyDescent="0.3">
      <c r="A5" s="2" t="s">
        <v>712</v>
      </c>
      <c r="B5" s="132" t="s">
        <v>80</v>
      </c>
      <c r="C5" s="56">
        <v>5</v>
      </c>
      <c r="D5" s="56">
        <v>5</v>
      </c>
      <c r="E5" s="56">
        <v>5</v>
      </c>
      <c r="F5" s="56">
        <v>5</v>
      </c>
      <c r="G5" s="2">
        <f t="shared" si="0"/>
        <v>20</v>
      </c>
      <c r="H5"/>
      <c r="I5" s="120" t="s">
        <v>715</v>
      </c>
      <c r="J5" s="122" t="s">
        <v>234</v>
      </c>
      <c r="K5" s="123">
        <v>0.125</v>
      </c>
      <c r="L5" s="123">
        <v>0.125</v>
      </c>
      <c r="M5" s="123">
        <v>0.125</v>
      </c>
      <c r="N5" s="123">
        <v>0.125</v>
      </c>
      <c r="O5" s="124">
        <v>1</v>
      </c>
    </row>
    <row r="6" spans="1:15" ht="75" customHeight="1" x14ac:dyDescent="0.3">
      <c r="A6" s="2" t="s">
        <v>712</v>
      </c>
      <c r="B6" s="132" t="s">
        <v>87</v>
      </c>
      <c r="C6" s="56">
        <v>10</v>
      </c>
      <c r="D6" s="56">
        <v>20</v>
      </c>
      <c r="E6" s="56">
        <v>20</v>
      </c>
      <c r="F6" s="56">
        <v>20</v>
      </c>
      <c r="G6" s="2">
        <f>SUM(C6:F6)</f>
        <v>70</v>
      </c>
      <c r="H6"/>
      <c r="I6" s="120" t="s">
        <v>716</v>
      </c>
      <c r="J6" s="122" t="s">
        <v>244</v>
      </c>
      <c r="K6" s="125">
        <v>100</v>
      </c>
      <c r="L6" s="125">
        <v>100</v>
      </c>
      <c r="M6" s="125">
        <v>100</v>
      </c>
      <c r="N6" s="125">
        <v>100</v>
      </c>
      <c r="O6" s="126">
        <v>400</v>
      </c>
    </row>
    <row r="7" spans="1:15" ht="56.25" customHeight="1" x14ac:dyDescent="0.3">
      <c r="A7" s="2"/>
      <c r="B7" s="132"/>
      <c r="C7" s="150">
        <f t="shared" ref="C7:F7" si="1">SUM(C3:C6)</f>
        <v>121</v>
      </c>
      <c r="D7" s="150">
        <f t="shared" si="1"/>
        <v>98</v>
      </c>
      <c r="E7" s="150">
        <f t="shared" si="1"/>
        <v>92</v>
      </c>
      <c r="F7" s="150">
        <f t="shared" si="1"/>
        <v>75</v>
      </c>
      <c r="G7" s="150">
        <f>SUM(G3:G6)</f>
        <v>386</v>
      </c>
      <c r="H7"/>
      <c r="I7" s="120" t="s">
        <v>716</v>
      </c>
      <c r="J7" s="122" t="s">
        <v>240</v>
      </c>
      <c r="K7" s="127">
        <v>0.25</v>
      </c>
      <c r="L7" s="127">
        <v>0.25</v>
      </c>
      <c r="M7" s="127">
        <v>0.25</v>
      </c>
      <c r="N7" s="127">
        <v>0.25</v>
      </c>
      <c r="O7" s="124">
        <v>1</v>
      </c>
    </row>
    <row r="8" spans="1:15" ht="56.25" customHeight="1" x14ac:dyDescent="0.3">
      <c r="A8" s="2" t="s">
        <v>717</v>
      </c>
      <c r="B8" s="132" t="s">
        <v>143</v>
      </c>
      <c r="C8" s="56">
        <v>600</v>
      </c>
      <c r="D8" s="56">
        <v>600</v>
      </c>
      <c r="E8" s="56">
        <v>600</v>
      </c>
      <c r="F8" s="56">
        <v>600</v>
      </c>
      <c r="G8" s="2">
        <f t="shared" ref="G8:G15" si="2">SUM(C8:F8)</f>
        <v>2400</v>
      </c>
      <c r="H8"/>
      <c r="I8" s="120" t="s">
        <v>718</v>
      </c>
      <c r="J8" s="122" t="s">
        <v>253</v>
      </c>
      <c r="K8" s="127">
        <v>0.25</v>
      </c>
      <c r="L8" s="127">
        <v>0.25</v>
      </c>
      <c r="M8" s="127">
        <v>0.25</v>
      </c>
      <c r="N8" s="127">
        <v>0.25</v>
      </c>
      <c r="O8" s="124">
        <v>1</v>
      </c>
    </row>
    <row r="9" spans="1:15" ht="41.25" customHeight="1" x14ac:dyDescent="0.3">
      <c r="A9" s="2" t="s">
        <v>717</v>
      </c>
      <c r="B9" s="132" t="s">
        <v>118</v>
      </c>
      <c r="C9" s="56">
        <v>50</v>
      </c>
      <c r="D9" s="56">
        <v>50</v>
      </c>
      <c r="E9" s="56">
        <v>50</v>
      </c>
      <c r="F9" s="56">
        <v>50</v>
      </c>
      <c r="G9" s="2">
        <f t="shared" si="2"/>
        <v>200</v>
      </c>
      <c r="H9"/>
      <c r="I9" s="120" t="s">
        <v>718</v>
      </c>
      <c r="J9" s="122" t="s">
        <v>249</v>
      </c>
      <c r="K9" s="127">
        <v>0.25</v>
      </c>
      <c r="L9" s="127">
        <v>0.25</v>
      </c>
      <c r="M9" s="127">
        <v>0.25</v>
      </c>
      <c r="N9" s="127">
        <v>0.25</v>
      </c>
      <c r="O9" s="124">
        <v>1</v>
      </c>
    </row>
    <row r="10" spans="1:15" ht="46.5" customHeight="1" x14ac:dyDescent="0.3">
      <c r="A10" s="2" t="s">
        <v>717</v>
      </c>
      <c r="B10" s="132" t="s">
        <v>124</v>
      </c>
      <c r="C10" s="56">
        <v>400</v>
      </c>
      <c r="D10" s="56">
        <v>400</v>
      </c>
      <c r="E10" s="56">
        <v>400</v>
      </c>
      <c r="F10" s="56">
        <v>400</v>
      </c>
      <c r="G10" s="2">
        <f t="shared" si="2"/>
        <v>1600</v>
      </c>
      <c r="H10"/>
      <c r="I10" s="120" t="s">
        <v>719</v>
      </c>
      <c r="J10" s="122" t="s">
        <v>270</v>
      </c>
      <c r="K10" s="123">
        <v>0.125</v>
      </c>
      <c r="L10" s="123">
        <v>0.125</v>
      </c>
      <c r="M10" s="123">
        <v>0.125</v>
      </c>
      <c r="N10" s="123">
        <v>0.125</v>
      </c>
      <c r="O10" s="124">
        <v>1</v>
      </c>
    </row>
    <row r="11" spans="1:15" ht="57" customHeight="1" x14ac:dyDescent="0.3">
      <c r="A11" s="2" t="s">
        <v>717</v>
      </c>
      <c r="B11" s="132" t="s">
        <v>139</v>
      </c>
      <c r="C11" s="56">
        <v>4</v>
      </c>
      <c r="D11" s="56">
        <v>3</v>
      </c>
      <c r="E11" s="56">
        <v>3</v>
      </c>
      <c r="F11" s="56">
        <v>3</v>
      </c>
      <c r="G11" s="2">
        <f t="shared" si="2"/>
        <v>13</v>
      </c>
      <c r="H11"/>
      <c r="I11" s="120" t="s">
        <v>719</v>
      </c>
      <c r="J11" s="128" t="s">
        <v>294</v>
      </c>
      <c r="K11" s="129">
        <v>0.125</v>
      </c>
      <c r="L11" s="129">
        <v>0.125</v>
      </c>
      <c r="M11" s="129">
        <v>0.125</v>
      </c>
      <c r="N11" s="129">
        <v>0.125</v>
      </c>
      <c r="O11" s="130">
        <v>1</v>
      </c>
    </row>
    <row r="12" spans="1:15" ht="44.25" customHeight="1" x14ac:dyDescent="0.3">
      <c r="A12" s="2" t="s">
        <v>717</v>
      </c>
      <c r="B12" s="132" t="s">
        <v>597</v>
      </c>
      <c r="C12" s="56">
        <v>60</v>
      </c>
      <c r="D12" s="56">
        <v>70</v>
      </c>
      <c r="E12" s="56">
        <v>80</v>
      </c>
      <c r="F12" s="56">
        <v>90</v>
      </c>
      <c r="G12" s="2">
        <f t="shared" si="2"/>
        <v>300</v>
      </c>
      <c r="H12"/>
    </row>
    <row r="13" spans="1:15" ht="51" customHeight="1" x14ac:dyDescent="0.3">
      <c r="A13" s="2" t="s">
        <v>717</v>
      </c>
      <c r="B13" s="132" t="s">
        <v>101</v>
      </c>
      <c r="C13" s="56">
        <v>800</v>
      </c>
      <c r="D13" s="56">
        <v>800</v>
      </c>
      <c r="E13" s="56">
        <v>800</v>
      </c>
      <c r="F13" s="56">
        <v>800</v>
      </c>
      <c r="G13" s="2">
        <f t="shared" si="2"/>
        <v>3200</v>
      </c>
      <c r="H13"/>
      <c r="N13"/>
    </row>
    <row r="14" spans="1:15" ht="56.25" customHeight="1" x14ac:dyDescent="0.3">
      <c r="A14" s="2" t="s">
        <v>717</v>
      </c>
      <c r="B14" s="132" t="s">
        <v>720</v>
      </c>
      <c r="C14" s="56">
        <v>1000</v>
      </c>
      <c r="D14" s="56">
        <v>1000</v>
      </c>
      <c r="E14" s="56">
        <v>1000</v>
      </c>
      <c r="F14" s="56">
        <v>1000</v>
      </c>
      <c r="G14" s="2">
        <f t="shared" si="2"/>
        <v>4000</v>
      </c>
      <c r="H14"/>
      <c r="N14"/>
    </row>
    <row r="15" spans="1:15" ht="56.25" customHeight="1" x14ac:dyDescent="0.3">
      <c r="A15" s="2" t="s">
        <v>717</v>
      </c>
      <c r="B15" s="132" t="s">
        <v>721</v>
      </c>
      <c r="C15" s="56">
        <v>462000</v>
      </c>
      <c r="D15" s="56">
        <v>45000</v>
      </c>
      <c r="E15" s="56">
        <v>50000</v>
      </c>
      <c r="F15" s="56">
        <v>50000</v>
      </c>
      <c r="G15" s="2">
        <f t="shared" si="2"/>
        <v>607000</v>
      </c>
      <c r="H15"/>
      <c r="N15"/>
    </row>
    <row r="16" spans="1:15" ht="51.75" customHeight="1" x14ac:dyDescent="0.3">
      <c r="A16" s="2"/>
      <c r="B16" s="132"/>
      <c r="C16" s="150">
        <f t="shared" ref="C16:F16" si="3">SUM(C8:C15)</f>
        <v>464914</v>
      </c>
      <c r="D16" s="150">
        <f t="shared" si="3"/>
        <v>47923</v>
      </c>
      <c r="E16" s="150">
        <f t="shared" si="3"/>
        <v>52933</v>
      </c>
      <c r="F16" s="150">
        <f t="shared" si="3"/>
        <v>52943</v>
      </c>
      <c r="G16" s="150">
        <f>SUM(G8:G15)</f>
        <v>618713</v>
      </c>
      <c r="H16"/>
      <c r="N16"/>
    </row>
    <row r="17" spans="1:14" ht="54" customHeight="1" x14ac:dyDescent="0.3">
      <c r="A17" s="2" t="s">
        <v>722</v>
      </c>
      <c r="B17" s="132" t="s">
        <v>209</v>
      </c>
      <c r="C17" s="56">
        <v>2</v>
      </c>
      <c r="D17" s="56">
        <v>1</v>
      </c>
      <c r="E17" s="56">
        <v>1</v>
      </c>
      <c r="F17" s="56">
        <v>1</v>
      </c>
      <c r="G17" s="2">
        <f t="shared" si="0"/>
        <v>5</v>
      </c>
      <c r="H17"/>
      <c r="N17"/>
    </row>
    <row r="18" spans="1:14" ht="54" customHeight="1" x14ac:dyDescent="0.3">
      <c r="A18" s="2" t="s">
        <v>722</v>
      </c>
      <c r="B18" s="132" t="s">
        <v>204</v>
      </c>
      <c r="C18" s="56">
        <v>1</v>
      </c>
      <c r="D18" s="56">
        <v>1</v>
      </c>
      <c r="E18" s="56">
        <v>1</v>
      </c>
      <c r="F18" s="56">
        <v>0</v>
      </c>
      <c r="G18" s="2">
        <f t="shared" si="0"/>
        <v>3</v>
      </c>
      <c r="H18"/>
      <c r="N18"/>
    </row>
    <row r="19" spans="1:14" ht="75" customHeight="1" x14ac:dyDescent="0.3">
      <c r="A19" s="2" t="s">
        <v>722</v>
      </c>
      <c r="B19" s="132" t="s">
        <v>723</v>
      </c>
      <c r="C19" s="56">
        <v>10</v>
      </c>
      <c r="D19" s="56">
        <v>10</v>
      </c>
      <c r="E19" s="56">
        <v>10</v>
      </c>
      <c r="F19" s="56">
        <v>10</v>
      </c>
      <c r="G19" s="2">
        <f t="shared" si="0"/>
        <v>40</v>
      </c>
      <c r="H19"/>
      <c r="N19"/>
    </row>
    <row r="20" spans="1:14" ht="26.25" customHeight="1" x14ac:dyDescent="0.3">
      <c r="A20" s="2"/>
      <c r="B20" s="132"/>
      <c r="C20" s="150">
        <f t="shared" ref="C20:F20" si="4">+C19+C18+C17</f>
        <v>13</v>
      </c>
      <c r="D20" s="150">
        <f t="shared" si="4"/>
        <v>12</v>
      </c>
      <c r="E20" s="150">
        <f t="shared" si="4"/>
        <v>12</v>
      </c>
      <c r="F20" s="150">
        <f t="shared" si="4"/>
        <v>11</v>
      </c>
      <c r="G20" s="150">
        <f>+G19+G18+G17</f>
        <v>48</v>
      </c>
      <c r="H20"/>
      <c r="N20"/>
    </row>
    <row r="21" spans="1:14" ht="32.25" customHeight="1" x14ac:dyDescent="0.3">
      <c r="A21" s="133"/>
      <c r="B21" s="134"/>
      <c r="C21" s="151">
        <f t="shared" ref="C21:F21" si="5">+C7+C16+C20</f>
        <v>465048</v>
      </c>
      <c r="D21" s="151">
        <f t="shared" si="5"/>
        <v>48033</v>
      </c>
      <c r="E21" s="151">
        <f t="shared" si="5"/>
        <v>53037</v>
      </c>
      <c r="F21" s="151">
        <f t="shared" si="5"/>
        <v>53029</v>
      </c>
      <c r="G21" s="151">
        <f>+G7+G16+G20</f>
        <v>619147</v>
      </c>
      <c r="H21"/>
      <c r="N21"/>
    </row>
    <row r="22" spans="1:14" x14ac:dyDescent="0.3">
      <c r="H22"/>
      <c r="N22"/>
    </row>
    <row r="23" spans="1:14" x14ac:dyDescent="0.3">
      <c r="A23" s="3"/>
      <c r="G23" s="3"/>
      <c r="H23"/>
      <c r="N23"/>
    </row>
    <row r="24" spans="1:14" x14ac:dyDescent="0.3">
      <c r="A24" s="3"/>
      <c r="G24" s="3"/>
      <c r="H24"/>
      <c r="N24"/>
    </row>
    <row r="30" spans="1:14" ht="44.25" customHeight="1" x14ac:dyDescent="0.3"/>
    <row r="32" spans="1:14" ht="39" customHeight="1" x14ac:dyDescent="0.3"/>
    <row r="34" ht="41.25" customHeight="1" x14ac:dyDescent="0.3"/>
    <row r="35" ht="41.25" customHeight="1" x14ac:dyDescent="0.3"/>
    <row r="36" ht="41.25" customHeight="1" x14ac:dyDescent="0.3"/>
    <row r="37" ht="41.25" customHeight="1" x14ac:dyDescent="0.3"/>
    <row r="38" ht="41.25" customHeight="1" x14ac:dyDescent="0.3"/>
    <row r="39" ht="41.25" customHeight="1" x14ac:dyDescent="0.3"/>
    <row r="40" ht="41.25" customHeight="1" x14ac:dyDescent="0.3"/>
    <row r="41" ht="33.75" customHeight="1" x14ac:dyDescent="0.3"/>
    <row r="44" ht="50.25" customHeight="1" x14ac:dyDescent="0.3"/>
    <row r="45" ht="23.25" customHeight="1" x14ac:dyDescent="0.3"/>
  </sheetData>
  <mergeCells count="2">
    <mergeCell ref="A1:G1"/>
    <mergeCell ref="I1:O1"/>
  </mergeCell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AB11"/>
  <sheetViews>
    <sheetView workbookViewId="0">
      <selection activeCell="B6" sqref="B6"/>
    </sheetView>
  </sheetViews>
  <sheetFormatPr baseColWidth="10" defaultColWidth="11.44140625" defaultRowHeight="14.4" x14ac:dyDescent="0.3"/>
  <cols>
    <col min="1" max="1" width="19.33203125" customWidth="1"/>
    <col min="2" max="2" width="30.109375" customWidth="1"/>
    <col min="4" max="4" width="17.109375" customWidth="1"/>
    <col min="6" max="6" width="56.44140625" customWidth="1"/>
  </cols>
  <sheetData>
    <row r="3" spans="1:28" ht="17.399999999999999" x14ac:dyDescent="0.3">
      <c r="A3" s="111" t="s">
        <v>724</v>
      </c>
      <c r="B3" s="112">
        <v>746375399</v>
      </c>
    </row>
    <row r="4" spans="1:28" ht="79.5" customHeight="1" x14ac:dyDescent="0.3">
      <c r="A4" s="114" t="s">
        <v>725</v>
      </c>
      <c r="B4" s="115">
        <f>+'PLAN DE ADQUISICIONES 2021'!N165-B3</f>
        <v>2366939278</v>
      </c>
      <c r="D4" s="113">
        <f>20000000+10000000+2000000+8900000+4500000+2500000+2500000+500000+12170250+5000000+500000+1000000+500000+550000+497351</f>
        <v>71117601</v>
      </c>
      <c r="E4" s="5"/>
      <c r="F4" s="5" t="s">
        <v>726</v>
      </c>
    </row>
    <row r="5" spans="1:28" ht="66.75" customHeight="1" x14ac:dyDescent="0.3">
      <c r="A5" s="7" t="s">
        <v>727</v>
      </c>
      <c r="B5" s="116">
        <f>+B4-D4</f>
        <v>2295821677</v>
      </c>
    </row>
    <row r="6" spans="1:28" s="5" customFormat="1" ht="64.5" customHeight="1" x14ac:dyDescent="0.3">
      <c r="S6" s="90"/>
      <c r="T6" s="90"/>
      <c r="AB6" s="6"/>
    </row>
    <row r="7" spans="1:28" s="5" customFormat="1" ht="47.25" customHeight="1" x14ac:dyDescent="0.3">
      <c r="S7" s="90"/>
      <c r="T7" s="90"/>
      <c r="AB7" s="6"/>
    </row>
    <row r="8" spans="1:28" s="5" customFormat="1" ht="52.5" customHeight="1" x14ac:dyDescent="0.3">
      <c r="S8" s="90"/>
      <c r="T8" s="90"/>
      <c r="AB8" s="6"/>
    </row>
    <row r="9" spans="1:28" s="5" customFormat="1" ht="57" customHeight="1" x14ac:dyDescent="0.3">
      <c r="S9" s="90"/>
      <c r="T9" s="90"/>
      <c r="AB9" s="6"/>
    </row>
    <row r="10" spans="1:28" s="5" customFormat="1" ht="39.9" customHeight="1" x14ac:dyDescent="0.3">
      <c r="R10" s="90"/>
      <c r="S10" s="90"/>
      <c r="AB10" s="6"/>
    </row>
    <row r="11" spans="1:28" s="5" customFormat="1" ht="39.9" customHeight="1" x14ac:dyDescent="0.3">
      <c r="R11" s="90"/>
      <c r="S11" s="90"/>
      <c r="T11" s="118">
        <f>50000*11</f>
        <v>550000</v>
      </c>
      <c r="U11" s="117" t="s">
        <v>728</v>
      </c>
      <c r="AB11" s="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04"/>
  <sheetViews>
    <sheetView zoomScale="50" zoomScaleNormal="50" zoomScaleSheetLayoutView="140" workbookViewId="0">
      <pane ySplit="1" topLeftCell="A2" activePane="bottomLeft" state="frozen"/>
      <selection activeCell="F7" sqref="F7"/>
      <selection pane="bottomLeft" activeCell="D8" sqref="D8"/>
    </sheetView>
  </sheetViews>
  <sheetFormatPr baseColWidth="10" defaultColWidth="11.44140625" defaultRowHeight="15" x14ac:dyDescent="0.25"/>
  <cols>
    <col min="1" max="1" width="45.5546875" style="49" customWidth="1"/>
    <col min="2" max="2" width="22.109375" style="9" customWidth="1"/>
    <col min="3" max="3" width="20.6640625" style="9" customWidth="1"/>
    <col min="4" max="4" width="35.6640625" style="9" customWidth="1"/>
    <col min="5" max="5" width="20.88671875" style="50" customWidth="1"/>
    <col min="6" max="6" width="13.88671875" style="51" customWidth="1"/>
    <col min="7" max="7" width="29.6640625" style="51" customWidth="1"/>
    <col min="8" max="8" width="23.5546875" style="50" customWidth="1"/>
    <col min="9" max="9" width="27.5546875" style="50" customWidth="1"/>
    <col min="10" max="10" width="31.33203125" style="48" customWidth="1"/>
    <col min="11" max="12" width="11.44140625" style="48"/>
    <col min="13" max="13" width="20.109375" style="48" bestFit="1" customWidth="1"/>
    <col min="14" max="16384" width="11.44140625" style="48"/>
  </cols>
  <sheetData>
    <row r="1" spans="1:13" s="19" customFormat="1" ht="79.5" customHeight="1" x14ac:dyDescent="0.3">
      <c r="A1" s="15" t="s">
        <v>729</v>
      </c>
      <c r="B1" s="16" t="s">
        <v>730</v>
      </c>
      <c r="C1" s="16" t="s">
        <v>731</v>
      </c>
      <c r="D1" s="16" t="s">
        <v>732</v>
      </c>
      <c r="E1" s="17" t="s">
        <v>733</v>
      </c>
      <c r="F1" s="16" t="s">
        <v>734</v>
      </c>
      <c r="G1" s="16" t="s">
        <v>735</v>
      </c>
      <c r="H1" s="17" t="s">
        <v>736</v>
      </c>
      <c r="I1" s="17" t="s">
        <v>737</v>
      </c>
      <c r="J1" s="18" t="s">
        <v>738</v>
      </c>
    </row>
    <row r="2" spans="1:13" s="27" customFormat="1" ht="100.5" customHeight="1" x14ac:dyDescent="0.25">
      <c r="A2" s="20" t="s">
        <v>42</v>
      </c>
      <c r="B2" s="21" t="s">
        <v>739</v>
      </c>
      <c r="C2" s="21" t="s">
        <v>740</v>
      </c>
      <c r="D2" s="21" t="s">
        <v>741</v>
      </c>
      <c r="E2" s="22">
        <v>171283</v>
      </c>
      <c r="F2" s="23">
        <v>4.5</v>
      </c>
      <c r="G2" s="24">
        <f>E2*F2+0.5</f>
        <v>770774</v>
      </c>
      <c r="H2" s="25">
        <v>800000</v>
      </c>
      <c r="I2" s="25"/>
      <c r="J2" s="26"/>
    </row>
    <row r="3" spans="1:13" s="27" customFormat="1" ht="100.5" customHeight="1" x14ac:dyDescent="0.25">
      <c r="A3" s="20" t="s">
        <v>42</v>
      </c>
      <c r="B3" s="21" t="s">
        <v>739</v>
      </c>
      <c r="C3" s="21" t="s">
        <v>742</v>
      </c>
      <c r="D3" s="21" t="s">
        <v>741</v>
      </c>
      <c r="E3" s="25"/>
      <c r="F3" s="28"/>
      <c r="G3" s="29"/>
      <c r="H3" s="25"/>
      <c r="I3" s="25"/>
      <c r="J3" s="25"/>
      <c r="M3" s="160"/>
    </row>
    <row r="4" spans="1:13" s="27" customFormat="1" ht="100.5" customHeight="1" x14ac:dyDescent="0.25">
      <c r="A4" s="20" t="s">
        <v>42</v>
      </c>
      <c r="B4" s="21" t="s">
        <v>739</v>
      </c>
      <c r="C4" s="21" t="s">
        <v>743</v>
      </c>
      <c r="D4" s="21" t="s">
        <v>741</v>
      </c>
      <c r="E4" s="25"/>
      <c r="F4" s="28"/>
      <c r="G4" s="29"/>
      <c r="H4" s="25"/>
      <c r="I4" s="25">
        <f>(30000*2)+60000</f>
        <v>120000</v>
      </c>
      <c r="J4" s="25"/>
      <c r="M4" s="160"/>
    </row>
    <row r="5" spans="1:13" s="27" customFormat="1" ht="100.5" customHeight="1" x14ac:dyDescent="0.25">
      <c r="A5" s="20" t="s">
        <v>42</v>
      </c>
      <c r="B5" s="21" t="s">
        <v>744</v>
      </c>
      <c r="C5" s="21" t="s">
        <v>745</v>
      </c>
      <c r="D5" s="21" t="s">
        <v>746</v>
      </c>
      <c r="E5" s="22">
        <v>171283</v>
      </c>
      <c r="F5" s="23">
        <v>4.5</v>
      </c>
      <c r="G5" s="24">
        <f>E5*F5+0.5</f>
        <v>770774</v>
      </c>
      <c r="H5" s="25"/>
      <c r="I5" s="25">
        <f>30000*2</f>
        <v>60000</v>
      </c>
      <c r="J5" s="25"/>
    </row>
    <row r="6" spans="1:13" s="27" customFormat="1" ht="100.5" customHeight="1" x14ac:dyDescent="0.25">
      <c r="A6" s="20" t="s">
        <v>42</v>
      </c>
      <c r="B6" s="21" t="s">
        <v>744</v>
      </c>
      <c r="C6" s="21" t="s">
        <v>747</v>
      </c>
      <c r="D6" s="21" t="s">
        <v>746</v>
      </c>
      <c r="E6" s="25"/>
      <c r="F6" s="28"/>
      <c r="G6" s="29">
        <f t="shared" ref="G6:G20" si="0">E6*F6</f>
        <v>0</v>
      </c>
      <c r="H6" s="25"/>
      <c r="I6" s="25">
        <f>40000*2</f>
        <v>80000</v>
      </c>
      <c r="J6" s="25"/>
    </row>
    <row r="7" spans="1:13" s="27" customFormat="1" ht="100.5" customHeight="1" x14ac:dyDescent="0.25">
      <c r="A7" s="20" t="s">
        <v>42</v>
      </c>
      <c r="B7" s="21" t="s">
        <v>744</v>
      </c>
      <c r="C7" s="21" t="s">
        <v>748</v>
      </c>
      <c r="D7" s="21" t="s">
        <v>746</v>
      </c>
      <c r="E7" s="25"/>
      <c r="F7" s="28"/>
      <c r="G7" s="29">
        <f t="shared" si="0"/>
        <v>0</v>
      </c>
      <c r="H7" s="25"/>
      <c r="I7" s="25">
        <f>10000*2</f>
        <v>20000</v>
      </c>
      <c r="J7" s="25"/>
    </row>
    <row r="8" spans="1:13" s="27" customFormat="1" ht="100.5" customHeight="1" x14ac:dyDescent="0.25">
      <c r="A8" s="20" t="s">
        <v>42</v>
      </c>
      <c r="B8" s="21" t="s">
        <v>744</v>
      </c>
      <c r="C8" s="21" t="s">
        <v>749</v>
      </c>
      <c r="D8" s="21" t="s">
        <v>746</v>
      </c>
      <c r="E8" s="25"/>
      <c r="F8" s="28"/>
      <c r="G8" s="29">
        <f t="shared" si="0"/>
        <v>0</v>
      </c>
      <c r="H8" s="25"/>
      <c r="I8" s="25">
        <f>15000*2</f>
        <v>30000</v>
      </c>
      <c r="J8" s="25"/>
    </row>
    <row r="9" spans="1:13" s="27" customFormat="1" ht="100.5" customHeight="1" x14ac:dyDescent="0.25">
      <c r="A9" s="20" t="s">
        <v>42</v>
      </c>
      <c r="B9" s="21" t="s">
        <v>750</v>
      </c>
      <c r="C9" s="21" t="s">
        <v>751</v>
      </c>
      <c r="D9" s="21" t="s">
        <v>752</v>
      </c>
      <c r="E9" s="22">
        <v>228866</v>
      </c>
      <c r="F9" s="23">
        <v>4.5</v>
      </c>
      <c r="G9" s="24">
        <f t="shared" si="0"/>
        <v>1029897</v>
      </c>
      <c r="H9" s="25">
        <v>800000</v>
      </c>
      <c r="I9" s="25">
        <f>(40000*2)+60000</f>
        <v>140000</v>
      </c>
      <c r="J9" s="25"/>
    </row>
    <row r="10" spans="1:13" s="27" customFormat="1" ht="100.5" customHeight="1" x14ac:dyDescent="0.25">
      <c r="A10" s="20" t="s">
        <v>42</v>
      </c>
      <c r="B10" s="21" t="s">
        <v>750</v>
      </c>
      <c r="C10" s="21" t="s">
        <v>753</v>
      </c>
      <c r="D10" s="21" t="s">
        <v>752</v>
      </c>
      <c r="E10" s="25"/>
      <c r="F10" s="28"/>
      <c r="G10" s="29">
        <f t="shared" si="0"/>
        <v>0</v>
      </c>
      <c r="H10" s="25"/>
      <c r="I10" s="25">
        <f>10000*2</f>
        <v>20000</v>
      </c>
      <c r="J10" s="25"/>
    </row>
    <row r="11" spans="1:13" s="27" customFormat="1" ht="100.5" customHeight="1" x14ac:dyDescent="0.25">
      <c r="A11" s="20" t="s">
        <v>42</v>
      </c>
      <c r="B11" s="21" t="s">
        <v>750</v>
      </c>
      <c r="C11" s="21" t="s">
        <v>754</v>
      </c>
      <c r="D11" s="21" t="s">
        <v>752</v>
      </c>
      <c r="E11" s="25"/>
      <c r="F11" s="28"/>
      <c r="G11" s="29">
        <f t="shared" si="0"/>
        <v>0</v>
      </c>
      <c r="H11" s="25"/>
      <c r="I11" s="25">
        <f>30000*2</f>
        <v>60000</v>
      </c>
      <c r="J11" s="25"/>
    </row>
    <row r="12" spans="1:13" s="27" customFormat="1" ht="100.5" customHeight="1" x14ac:dyDescent="0.25">
      <c r="A12" s="20" t="s">
        <v>42</v>
      </c>
      <c r="B12" s="21" t="s">
        <v>750</v>
      </c>
      <c r="C12" s="21" t="s">
        <v>755</v>
      </c>
      <c r="D12" s="21" t="s">
        <v>752</v>
      </c>
      <c r="E12" s="25"/>
      <c r="F12" s="28"/>
      <c r="G12" s="29">
        <f t="shared" si="0"/>
        <v>0</v>
      </c>
      <c r="H12" s="25"/>
      <c r="I12" s="25">
        <f>15000*2</f>
        <v>30000</v>
      </c>
      <c r="J12" s="25"/>
    </row>
    <row r="13" spans="1:13" s="27" customFormat="1" ht="100.5" customHeight="1" x14ac:dyDescent="0.25">
      <c r="A13" s="20" t="s">
        <v>42</v>
      </c>
      <c r="B13" s="21" t="s">
        <v>756</v>
      </c>
      <c r="C13" s="21" t="s">
        <v>757</v>
      </c>
      <c r="D13" s="21" t="s">
        <v>758</v>
      </c>
      <c r="E13" s="22">
        <v>171283</v>
      </c>
      <c r="F13" s="23">
        <v>4.5</v>
      </c>
      <c r="G13" s="24">
        <f>E13*F13+0.5</f>
        <v>770774</v>
      </c>
      <c r="H13" s="25">
        <v>800000</v>
      </c>
      <c r="I13" s="25">
        <f>(10000*2)+60000+90000</f>
        <v>170000</v>
      </c>
      <c r="J13" s="25" t="s">
        <v>759</v>
      </c>
    </row>
    <row r="14" spans="1:13" s="27" customFormat="1" ht="100.5" customHeight="1" x14ac:dyDescent="0.25">
      <c r="A14" s="20" t="s">
        <v>42</v>
      </c>
      <c r="B14" s="21" t="s">
        <v>756</v>
      </c>
      <c r="C14" s="21" t="s">
        <v>760</v>
      </c>
      <c r="D14" s="21" t="s">
        <v>758</v>
      </c>
      <c r="E14" s="25"/>
      <c r="F14" s="28"/>
      <c r="G14" s="29">
        <f t="shared" si="0"/>
        <v>0</v>
      </c>
      <c r="H14" s="25"/>
      <c r="I14" s="25">
        <f>10000*2</f>
        <v>20000</v>
      </c>
      <c r="J14" s="25"/>
    </row>
    <row r="15" spans="1:13" s="27" customFormat="1" ht="100.5" customHeight="1" x14ac:dyDescent="0.25">
      <c r="A15" s="20" t="s">
        <v>42</v>
      </c>
      <c r="B15" s="21" t="s">
        <v>761</v>
      </c>
      <c r="C15" s="21" t="s">
        <v>762</v>
      </c>
      <c r="D15" s="21" t="s">
        <v>763</v>
      </c>
      <c r="E15" s="22">
        <v>171283</v>
      </c>
      <c r="F15" s="23">
        <v>4.5</v>
      </c>
      <c r="G15" s="24">
        <f>E15*F15+0.5</f>
        <v>770774</v>
      </c>
      <c r="H15" s="25"/>
      <c r="I15" s="25">
        <f>60000*2</f>
        <v>120000</v>
      </c>
      <c r="J15" s="25"/>
    </row>
    <row r="16" spans="1:13" s="27" customFormat="1" ht="100.5" customHeight="1" x14ac:dyDescent="0.25">
      <c r="A16" s="20" t="s">
        <v>42</v>
      </c>
      <c r="B16" s="21" t="s">
        <v>764</v>
      </c>
      <c r="C16" s="21" t="s">
        <v>765</v>
      </c>
      <c r="D16" s="21" t="s">
        <v>766</v>
      </c>
      <c r="E16" s="22">
        <v>171283</v>
      </c>
      <c r="F16" s="23">
        <v>4.5</v>
      </c>
      <c r="G16" s="24">
        <f>E16*F16+0.5</f>
        <v>770774</v>
      </c>
      <c r="H16" s="25">
        <v>800000</v>
      </c>
      <c r="I16" s="25">
        <f>(60000*2)+60000</f>
        <v>180000</v>
      </c>
      <c r="J16" s="25"/>
    </row>
    <row r="17" spans="1:10" s="27" customFormat="1" ht="100.5" customHeight="1" x14ac:dyDescent="0.25">
      <c r="A17" s="20" t="s">
        <v>42</v>
      </c>
      <c r="B17" s="21" t="s">
        <v>767</v>
      </c>
      <c r="C17" s="21" t="s">
        <v>768</v>
      </c>
      <c r="D17" s="21" t="s">
        <v>763</v>
      </c>
      <c r="E17" s="22">
        <v>171283</v>
      </c>
      <c r="F17" s="23">
        <v>4.5</v>
      </c>
      <c r="G17" s="24">
        <f>E17*F17+0.5</f>
        <v>770774</v>
      </c>
      <c r="H17" s="25">
        <v>800000</v>
      </c>
      <c r="I17" s="25">
        <f>(50000*2)+60000+60000</f>
        <v>220000</v>
      </c>
      <c r="J17" s="25"/>
    </row>
    <row r="18" spans="1:10" s="27" customFormat="1" ht="100.5" customHeight="1" x14ac:dyDescent="0.25">
      <c r="A18" s="20" t="s">
        <v>42</v>
      </c>
      <c r="B18" s="21" t="s">
        <v>769</v>
      </c>
      <c r="C18" s="21" t="s">
        <v>770</v>
      </c>
      <c r="D18" s="21" t="s">
        <v>771</v>
      </c>
      <c r="E18" s="22">
        <v>228866</v>
      </c>
      <c r="F18" s="23">
        <v>4.5</v>
      </c>
      <c r="G18" s="24">
        <f t="shared" si="0"/>
        <v>1029897</v>
      </c>
      <c r="H18" s="25">
        <v>800000</v>
      </c>
      <c r="I18" s="25">
        <v>60000</v>
      </c>
      <c r="J18" s="25"/>
    </row>
    <row r="19" spans="1:10" s="27" customFormat="1" ht="100.5" customHeight="1" x14ac:dyDescent="0.25">
      <c r="A19" s="20" t="s">
        <v>42</v>
      </c>
      <c r="B19" s="21" t="s">
        <v>772</v>
      </c>
      <c r="C19" s="21" t="s">
        <v>773</v>
      </c>
      <c r="D19" s="21" t="s">
        <v>774</v>
      </c>
      <c r="E19" s="22">
        <v>171283</v>
      </c>
      <c r="F19" s="23">
        <v>4.5</v>
      </c>
      <c r="G19" s="24">
        <f>E19*F19+0.5</f>
        <v>770774</v>
      </c>
      <c r="H19" s="25">
        <v>800000</v>
      </c>
      <c r="I19" s="25">
        <f>(15000*2)+60000</f>
        <v>90000</v>
      </c>
      <c r="J19" s="25"/>
    </row>
    <row r="20" spans="1:10" s="27" customFormat="1" ht="100.5" customHeight="1" x14ac:dyDescent="0.25">
      <c r="A20" s="20" t="s">
        <v>42</v>
      </c>
      <c r="B20" s="21" t="s">
        <v>772</v>
      </c>
      <c r="C20" s="21" t="s">
        <v>775</v>
      </c>
      <c r="D20" s="21" t="s">
        <v>774</v>
      </c>
      <c r="E20" s="25"/>
      <c r="F20" s="28"/>
      <c r="G20" s="29">
        <f t="shared" si="0"/>
        <v>0</v>
      </c>
      <c r="H20" s="25"/>
      <c r="I20" s="25">
        <f>15000*2</f>
        <v>30000</v>
      </c>
      <c r="J20" s="25"/>
    </row>
    <row r="21" spans="1:10" s="27" customFormat="1" ht="100.5" customHeight="1" x14ac:dyDescent="0.25">
      <c r="A21" s="20"/>
      <c r="B21" s="21"/>
      <c r="C21" s="21"/>
      <c r="D21" s="21"/>
      <c r="E21" s="30">
        <f>SUBTOTAL(109,E2:E20)</f>
        <v>1656713</v>
      </c>
      <c r="F21" s="31"/>
      <c r="G21" s="32">
        <f>SUBTOTAL(109,G2:G20)</f>
        <v>7455212</v>
      </c>
      <c r="H21" s="30">
        <f>SUBTOTAL(109,H2:H20)</f>
        <v>5600000</v>
      </c>
      <c r="I21" s="30">
        <f>SUBTOTAL(109,I2:I20)</f>
        <v>1450000</v>
      </c>
      <c r="J21" s="25"/>
    </row>
    <row r="22" spans="1:10" s="27" customFormat="1" ht="78" customHeight="1" x14ac:dyDescent="0.25">
      <c r="A22" s="20" t="s">
        <v>213</v>
      </c>
      <c r="B22" s="21" t="s">
        <v>772</v>
      </c>
      <c r="C22" s="21" t="s">
        <v>776</v>
      </c>
      <c r="D22" s="21" t="s">
        <v>777</v>
      </c>
      <c r="E22" s="25">
        <v>228866</v>
      </c>
      <c r="F22" s="28">
        <v>4.5</v>
      </c>
      <c r="G22" s="33">
        <f t="shared" ref="G22:G23" si="1">E22*F22</f>
        <v>1029897</v>
      </c>
      <c r="H22" s="25">
        <v>800000</v>
      </c>
      <c r="I22" s="25">
        <f>60000+60000</f>
        <v>120000</v>
      </c>
      <c r="J22" s="25"/>
    </row>
    <row r="23" spans="1:10" s="27" customFormat="1" ht="78" customHeight="1" x14ac:dyDescent="0.25">
      <c r="A23" s="20" t="s">
        <v>213</v>
      </c>
      <c r="B23" s="34" t="s">
        <v>778</v>
      </c>
      <c r="C23" s="34" t="s">
        <v>779</v>
      </c>
      <c r="D23" s="34" t="s">
        <v>777</v>
      </c>
      <c r="E23" s="35">
        <v>228866</v>
      </c>
      <c r="F23" s="36">
        <v>4.5</v>
      </c>
      <c r="G23" s="37">
        <f t="shared" si="1"/>
        <v>1029897</v>
      </c>
      <c r="H23" s="35"/>
      <c r="I23" s="35">
        <f>60000*2</f>
        <v>120000</v>
      </c>
      <c r="J23" s="25"/>
    </row>
    <row r="24" spans="1:10" s="27" customFormat="1" ht="78" customHeight="1" x14ac:dyDescent="0.25">
      <c r="A24" s="20" t="s">
        <v>213</v>
      </c>
      <c r="B24" s="34" t="s">
        <v>780</v>
      </c>
      <c r="C24" s="34" t="s">
        <v>781</v>
      </c>
      <c r="D24" s="34" t="s">
        <v>782</v>
      </c>
      <c r="E24" s="35">
        <v>258320</v>
      </c>
      <c r="F24" s="36">
        <v>4.5</v>
      </c>
      <c r="G24" s="37">
        <f>+E24*F24</f>
        <v>1162440</v>
      </c>
      <c r="H24" s="35">
        <v>800000</v>
      </c>
      <c r="I24" s="35">
        <v>60000</v>
      </c>
      <c r="J24" s="25"/>
    </row>
    <row r="25" spans="1:10" s="27" customFormat="1" ht="78" customHeight="1" x14ac:dyDescent="0.25">
      <c r="A25" s="20" t="s">
        <v>213</v>
      </c>
      <c r="B25" s="34" t="s">
        <v>783</v>
      </c>
      <c r="C25" s="34" t="s">
        <v>784</v>
      </c>
      <c r="D25" s="34" t="s">
        <v>782</v>
      </c>
      <c r="E25" s="35">
        <v>258320</v>
      </c>
      <c r="F25" s="36">
        <v>4.5</v>
      </c>
      <c r="G25" s="37">
        <f>+E25*F25</f>
        <v>1162440</v>
      </c>
      <c r="H25" s="35">
        <v>800000</v>
      </c>
      <c r="I25" s="35">
        <v>60000</v>
      </c>
      <c r="J25" s="25"/>
    </row>
    <row r="26" spans="1:10" s="27" customFormat="1" ht="78" customHeight="1" x14ac:dyDescent="0.25">
      <c r="A26" s="20" t="s">
        <v>213</v>
      </c>
      <c r="B26" s="21" t="s">
        <v>785</v>
      </c>
      <c r="C26" s="21" t="s">
        <v>786</v>
      </c>
      <c r="D26" s="21" t="s">
        <v>777</v>
      </c>
      <c r="E26" s="25">
        <v>228866</v>
      </c>
      <c r="F26" s="28">
        <v>4.5</v>
      </c>
      <c r="G26" s="33">
        <f t="shared" ref="G26" si="2">E26*F26</f>
        <v>1029897</v>
      </c>
      <c r="H26" s="25">
        <v>800000</v>
      </c>
      <c r="I26" s="25">
        <v>60000</v>
      </c>
      <c r="J26" s="25"/>
    </row>
    <row r="27" spans="1:10" s="27" customFormat="1" ht="78" customHeight="1" x14ac:dyDescent="0.25">
      <c r="A27" s="20" t="s">
        <v>213</v>
      </c>
      <c r="B27" s="21" t="s">
        <v>787</v>
      </c>
      <c r="C27" s="21" t="s">
        <v>788</v>
      </c>
      <c r="D27" s="21" t="s">
        <v>782</v>
      </c>
      <c r="E27" s="25">
        <v>258320</v>
      </c>
      <c r="F27" s="28">
        <v>4.5</v>
      </c>
      <c r="G27" s="33">
        <f>+E27*F27</f>
        <v>1162440</v>
      </c>
      <c r="H27" s="25">
        <v>800000</v>
      </c>
      <c r="I27" s="25">
        <f>(60000*2)+60000</f>
        <v>180000</v>
      </c>
      <c r="J27" s="25"/>
    </row>
    <row r="28" spans="1:10" s="27" customFormat="1" ht="78" customHeight="1" x14ac:dyDescent="0.25">
      <c r="A28" s="20" t="s">
        <v>213</v>
      </c>
      <c r="B28" s="21" t="s">
        <v>729</v>
      </c>
      <c r="C28" s="21" t="s">
        <v>789</v>
      </c>
      <c r="D28" s="21" t="s">
        <v>790</v>
      </c>
      <c r="E28" s="25">
        <v>228866</v>
      </c>
      <c r="F28" s="28">
        <v>4.5</v>
      </c>
      <c r="G28" s="33">
        <f t="shared" ref="G28:G30" si="3">E28*F28</f>
        <v>1029897</v>
      </c>
      <c r="H28" s="25"/>
      <c r="I28" s="25">
        <f>70000*2</f>
        <v>140000</v>
      </c>
      <c r="J28" s="25"/>
    </row>
    <row r="29" spans="1:10" s="27" customFormat="1" ht="78" customHeight="1" x14ac:dyDescent="0.25">
      <c r="A29" s="20" t="s">
        <v>213</v>
      </c>
      <c r="B29" s="21" t="s">
        <v>769</v>
      </c>
      <c r="C29" s="21" t="s">
        <v>791</v>
      </c>
      <c r="D29" s="21" t="s">
        <v>790</v>
      </c>
      <c r="E29" s="25">
        <v>228866</v>
      </c>
      <c r="F29" s="28">
        <v>4.5</v>
      </c>
      <c r="G29" s="33">
        <f t="shared" si="3"/>
        <v>1029897</v>
      </c>
      <c r="H29" s="25">
        <v>800000</v>
      </c>
      <c r="I29" s="25">
        <f>60000+90000</f>
        <v>150000</v>
      </c>
      <c r="J29" s="25"/>
    </row>
    <row r="30" spans="1:10" s="27" customFormat="1" ht="78" customHeight="1" x14ac:dyDescent="0.25">
      <c r="A30" s="20" t="s">
        <v>213</v>
      </c>
      <c r="B30" s="21" t="s">
        <v>792</v>
      </c>
      <c r="C30" s="21" t="s">
        <v>793</v>
      </c>
      <c r="D30" s="21" t="s">
        <v>208</v>
      </c>
      <c r="E30" s="25">
        <v>228866</v>
      </c>
      <c r="F30" s="28">
        <v>4.5</v>
      </c>
      <c r="G30" s="33">
        <f t="shared" si="3"/>
        <v>1029897</v>
      </c>
      <c r="H30" s="25">
        <v>800000</v>
      </c>
      <c r="I30" s="25">
        <v>60000</v>
      </c>
      <c r="J30" s="25"/>
    </row>
    <row r="31" spans="1:10" s="27" customFormat="1" ht="78" customHeight="1" x14ac:dyDescent="0.25">
      <c r="A31" s="20" t="s">
        <v>213</v>
      </c>
      <c r="B31" s="21" t="s">
        <v>794</v>
      </c>
      <c r="C31" s="21" t="s">
        <v>794</v>
      </c>
      <c r="D31" s="21" t="s">
        <v>82</v>
      </c>
      <c r="E31" s="25">
        <v>258320</v>
      </c>
      <c r="F31" s="28">
        <v>4.5</v>
      </c>
      <c r="G31" s="33">
        <f>+E31*F31</f>
        <v>1162440</v>
      </c>
      <c r="H31" s="25">
        <v>800000</v>
      </c>
      <c r="I31" s="25">
        <v>60000</v>
      </c>
      <c r="J31" s="25"/>
    </row>
    <row r="32" spans="1:10" s="27" customFormat="1" ht="78" customHeight="1" x14ac:dyDescent="0.25">
      <c r="A32" s="38"/>
      <c r="B32" s="39"/>
      <c r="C32" s="39"/>
      <c r="D32" s="39"/>
      <c r="E32" s="40"/>
      <c r="F32" s="41"/>
      <c r="G32" s="42">
        <f>SUBTOTAL(109,G22:G31)</f>
        <v>10829142</v>
      </c>
      <c r="H32" s="40">
        <f>SUBTOTAL(109,H22:H31)</f>
        <v>6400000</v>
      </c>
      <c r="I32" s="40">
        <f>SUM(I22:I31)</f>
        <v>1010000</v>
      </c>
      <c r="J32" s="25"/>
    </row>
    <row r="33" spans="1:10" s="27" customFormat="1" ht="78" customHeight="1" x14ac:dyDescent="0.25">
      <c r="A33" s="20" t="s">
        <v>80</v>
      </c>
      <c r="B33" s="21" t="s">
        <v>795</v>
      </c>
      <c r="C33" s="21" t="s">
        <v>796</v>
      </c>
      <c r="D33" s="21" t="s">
        <v>797</v>
      </c>
      <c r="E33" s="25">
        <v>228866</v>
      </c>
      <c r="F33" s="28" t="s">
        <v>798</v>
      </c>
      <c r="G33" s="33">
        <v>801031</v>
      </c>
      <c r="H33" s="25">
        <v>800000</v>
      </c>
      <c r="I33" s="25">
        <v>60000</v>
      </c>
      <c r="J33" s="25"/>
    </row>
    <row r="34" spans="1:10" s="27" customFormat="1" ht="78" customHeight="1" x14ac:dyDescent="0.25">
      <c r="A34" s="20" t="s">
        <v>80</v>
      </c>
      <c r="B34" s="21" t="s">
        <v>799</v>
      </c>
      <c r="C34" s="21" t="s">
        <v>800</v>
      </c>
      <c r="D34" s="21" t="s">
        <v>82</v>
      </c>
      <c r="E34" s="25">
        <v>258320</v>
      </c>
      <c r="F34" s="28" t="s">
        <v>798</v>
      </c>
      <c r="G34" s="33">
        <v>904120</v>
      </c>
      <c r="H34" s="25">
        <v>800000</v>
      </c>
      <c r="I34" s="25">
        <v>60000</v>
      </c>
      <c r="J34" s="25"/>
    </row>
    <row r="35" spans="1:10" s="27" customFormat="1" ht="78" customHeight="1" x14ac:dyDescent="0.25">
      <c r="A35" s="20" t="s">
        <v>80</v>
      </c>
      <c r="B35" s="21" t="s">
        <v>801</v>
      </c>
      <c r="C35" s="21" t="s">
        <v>802</v>
      </c>
      <c r="D35" s="21" t="s">
        <v>82</v>
      </c>
      <c r="E35" s="25">
        <v>258320</v>
      </c>
      <c r="F35" s="28" t="s">
        <v>798</v>
      </c>
      <c r="G35" s="33">
        <v>904120</v>
      </c>
      <c r="H35" s="25">
        <v>800000</v>
      </c>
      <c r="I35" s="25">
        <v>60000</v>
      </c>
      <c r="J35" s="25"/>
    </row>
    <row r="36" spans="1:10" s="27" customFormat="1" ht="78" customHeight="1" x14ac:dyDescent="0.25">
      <c r="A36" s="20" t="s">
        <v>80</v>
      </c>
      <c r="B36" s="21" t="s">
        <v>803</v>
      </c>
      <c r="C36" s="21" t="s">
        <v>804</v>
      </c>
      <c r="D36" s="21" t="s">
        <v>797</v>
      </c>
      <c r="E36" s="25">
        <v>228866</v>
      </c>
      <c r="F36" s="28" t="s">
        <v>798</v>
      </c>
      <c r="G36" s="33">
        <v>801031</v>
      </c>
      <c r="H36" s="25">
        <v>800000</v>
      </c>
      <c r="I36" s="25">
        <f>60000+70000</f>
        <v>130000</v>
      </c>
      <c r="J36" s="25"/>
    </row>
    <row r="37" spans="1:10" s="27" customFormat="1" ht="78" customHeight="1" x14ac:dyDescent="0.25">
      <c r="A37" s="20" t="s">
        <v>80</v>
      </c>
      <c r="B37" s="21" t="s">
        <v>805</v>
      </c>
      <c r="C37" s="21" t="s">
        <v>806</v>
      </c>
      <c r="D37" s="21" t="s">
        <v>777</v>
      </c>
      <c r="E37" s="25">
        <v>228866</v>
      </c>
      <c r="F37" s="28" t="s">
        <v>798</v>
      </c>
      <c r="G37" s="33">
        <v>801031</v>
      </c>
      <c r="H37" s="25">
        <v>800000</v>
      </c>
      <c r="I37" s="25">
        <v>60000</v>
      </c>
      <c r="J37" s="25"/>
    </row>
    <row r="38" spans="1:10" s="27" customFormat="1" ht="78" customHeight="1" x14ac:dyDescent="0.25">
      <c r="A38" s="38"/>
      <c r="B38" s="39"/>
      <c r="C38" s="39"/>
      <c r="D38" s="39"/>
      <c r="E38" s="40"/>
      <c r="F38" s="41"/>
      <c r="G38" s="42">
        <f>SUBTOTAL(109,G33:G37)</f>
        <v>4211333</v>
      </c>
      <c r="H38" s="42">
        <f t="shared" ref="H38:I38" si="4">SUBTOTAL(109,H33:H37)</f>
        <v>4000000</v>
      </c>
      <c r="I38" s="42">
        <f t="shared" si="4"/>
        <v>370000</v>
      </c>
      <c r="J38" s="40"/>
    </row>
    <row r="39" spans="1:10" s="27" customFormat="1" ht="78" customHeight="1" x14ac:dyDescent="0.25">
      <c r="A39" s="20" t="s">
        <v>204</v>
      </c>
      <c r="B39" s="21" t="s">
        <v>807</v>
      </c>
      <c r="C39" s="21" t="s">
        <v>808</v>
      </c>
      <c r="D39" s="21" t="s">
        <v>809</v>
      </c>
      <c r="E39" s="25">
        <v>258320</v>
      </c>
      <c r="F39" s="28" t="s">
        <v>798</v>
      </c>
      <c r="G39" s="33">
        <v>904120</v>
      </c>
      <c r="H39" s="25">
        <v>800000</v>
      </c>
      <c r="I39" s="25">
        <v>60000</v>
      </c>
      <c r="J39" s="25"/>
    </row>
    <row r="40" spans="1:10" s="27" customFormat="1" ht="78" customHeight="1" x14ac:dyDescent="0.25">
      <c r="A40" s="20" t="s">
        <v>204</v>
      </c>
      <c r="B40" s="21" t="s">
        <v>810</v>
      </c>
      <c r="C40" s="21" t="s">
        <v>811</v>
      </c>
      <c r="D40" s="21" t="s">
        <v>812</v>
      </c>
      <c r="E40" s="25">
        <f t="shared" ref="E40:G40" si="5">E39</f>
        <v>258320</v>
      </c>
      <c r="F40" s="28">
        <v>3.5</v>
      </c>
      <c r="G40" s="33">
        <f t="shared" si="5"/>
        <v>904120</v>
      </c>
      <c r="H40" s="25">
        <v>800000</v>
      </c>
      <c r="I40" s="25">
        <v>60000</v>
      </c>
      <c r="J40" s="25"/>
    </row>
    <row r="41" spans="1:10" s="27" customFormat="1" ht="59.25" customHeight="1" x14ac:dyDescent="0.25">
      <c r="A41" s="38" t="s">
        <v>813</v>
      </c>
      <c r="B41" s="39"/>
      <c r="C41" s="39"/>
      <c r="D41" s="39"/>
      <c r="E41" s="40"/>
      <c r="F41" s="41"/>
      <c r="G41" s="42">
        <f>+G39+G40</f>
        <v>1808240</v>
      </c>
      <c r="H41" s="42">
        <f t="shared" ref="H41:I41" si="6">+H39+H40</f>
        <v>1600000</v>
      </c>
      <c r="I41" s="42">
        <f t="shared" si="6"/>
        <v>120000</v>
      </c>
      <c r="J41" s="25"/>
    </row>
    <row r="42" spans="1:10" s="43" customFormat="1" ht="107.25" customHeight="1" x14ac:dyDescent="0.3">
      <c r="A42" s="166" t="s">
        <v>204</v>
      </c>
      <c r="B42" s="167"/>
      <c r="C42" s="167"/>
      <c r="D42" s="167" t="s">
        <v>741</v>
      </c>
      <c r="E42" s="168">
        <v>180053</v>
      </c>
      <c r="F42" s="169">
        <v>4.5</v>
      </c>
      <c r="G42" s="170">
        <f>+Tabla2[[#This Row],[Viáticos]]*Tabla2[[#This Row],['# días]]</f>
        <v>810238.5</v>
      </c>
      <c r="H42" s="168">
        <v>800000</v>
      </c>
      <c r="I42" s="168">
        <v>80000</v>
      </c>
      <c r="J42" s="25" t="s">
        <v>814</v>
      </c>
    </row>
    <row r="43" spans="1:10" s="27" customFormat="1" ht="85.5" customHeight="1" x14ac:dyDescent="0.25">
      <c r="A43" s="166" t="s">
        <v>204</v>
      </c>
      <c r="B43" s="167"/>
      <c r="C43" s="167"/>
      <c r="D43" s="167" t="s">
        <v>741</v>
      </c>
      <c r="E43" s="168">
        <v>180053</v>
      </c>
      <c r="F43" s="169">
        <v>4.5</v>
      </c>
      <c r="G43" s="170">
        <f>+Tabla2[[#This Row],[Viáticos]]*Tabla2[[#This Row],['# días]]</f>
        <v>810238.5</v>
      </c>
      <c r="H43" s="168">
        <v>800000</v>
      </c>
      <c r="I43" s="168">
        <v>80000</v>
      </c>
      <c r="J43" s="25" t="s">
        <v>814</v>
      </c>
    </row>
    <row r="44" spans="1:10" s="27" customFormat="1" ht="85.5" customHeight="1" x14ac:dyDescent="0.25">
      <c r="A44" s="166" t="s">
        <v>204</v>
      </c>
      <c r="B44" s="167"/>
      <c r="C44" s="167"/>
      <c r="D44" s="167" t="s">
        <v>815</v>
      </c>
      <c r="E44" s="168">
        <v>209511</v>
      </c>
      <c r="F44" s="169">
        <v>4.5</v>
      </c>
      <c r="G44" s="170">
        <f>+Tabla2[[#This Row],[Viáticos]]*Tabla2[[#This Row],['# días]]</f>
        <v>942799.5</v>
      </c>
      <c r="H44" s="168">
        <v>800000</v>
      </c>
      <c r="I44" s="168">
        <v>80000</v>
      </c>
      <c r="J44" s="25" t="s">
        <v>814</v>
      </c>
    </row>
    <row r="45" spans="1:10" s="27" customFormat="1" ht="85.5" customHeight="1" x14ac:dyDescent="0.25">
      <c r="A45" s="166" t="s">
        <v>204</v>
      </c>
      <c r="B45" s="167"/>
      <c r="C45" s="167"/>
      <c r="D45" s="167" t="s">
        <v>815</v>
      </c>
      <c r="E45" s="168">
        <v>209511</v>
      </c>
      <c r="F45" s="169">
        <v>4.5</v>
      </c>
      <c r="G45" s="170">
        <f>+Tabla2[[#This Row],[Viáticos]]*Tabla2[[#This Row],['# días]]</f>
        <v>942799.5</v>
      </c>
      <c r="H45" s="168">
        <v>800000</v>
      </c>
      <c r="I45" s="168">
        <v>80000</v>
      </c>
      <c r="J45" s="25" t="s">
        <v>814</v>
      </c>
    </row>
    <row r="46" spans="1:10" s="43" customFormat="1" ht="81" customHeight="1" x14ac:dyDescent="0.3">
      <c r="A46" s="166"/>
      <c r="B46" s="167"/>
      <c r="C46" s="167"/>
      <c r="D46" s="167"/>
      <c r="E46" s="168"/>
      <c r="F46" s="169"/>
      <c r="G46" s="170">
        <f>+G42+G43+G44+G45</f>
        <v>3506076</v>
      </c>
      <c r="H46" s="168">
        <f>+H43+H44+H45</f>
        <v>2400000</v>
      </c>
      <c r="I46" s="168">
        <f>+I43+I44+I45</f>
        <v>240000</v>
      </c>
      <c r="J46" s="25" t="s">
        <v>814</v>
      </c>
    </row>
    <row r="47" spans="1:10" s="44" customFormat="1" ht="78.75" customHeight="1" x14ac:dyDescent="0.3">
      <c r="A47" s="171" t="s">
        <v>816</v>
      </c>
      <c r="B47" s="172"/>
      <c r="C47" s="172"/>
      <c r="D47" s="172"/>
      <c r="E47" s="173"/>
      <c r="F47" s="174"/>
      <c r="G47" s="175">
        <f>+G46+G41</f>
        <v>5314316</v>
      </c>
      <c r="H47" s="173">
        <f>+H46+H41</f>
        <v>4000000</v>
      </c>
      <c r="I47" s="173">
        <f>+I46+I41</f>
        <v>360000</v>
      </c>
      <c r="J47" s="173"/>
    </row>
    <row r="48" spans="1:10" s="44" customFormat="1" ht="87.75" customHeight="1" x14ac:dyDescent="0.3">
      <c r="A48" s="20"/>
      <c r="B48" s="21"/>
      <c r="C48" s="21"/>
      <c r="D48" s="21"/>
      <c r="E48" s="25"/>
      <c r="F48" s="28"/>
      <c r="G48" s="33">
        <f>+Tabla2[[#This Row],[Viáticos]]*Tabla2[[#This Row],['# días]]</f>
        <v>0</v>
      </c>
      <c r="H48" s="25"/>
      <c r="I48" s="25"/>
      <c r="J48" s="25"/>
    </row>
    <row r="49" spans="1:10" s="27" customFormat="1" ht="87" customHeight="1" x14ac:dyDescent="0.25">
      <c r="A49" s="20"/>
      <c r="B49" s="21"/>
      <c r="C49" s="21"/>
      <c r="D49" s="21"/>
      <c r="E49" s="25"/>
      <c r="F49" s="28"/>
      <c r="G49" s="33">
        <f>+Tabla2[[#This Row],[Viáticos]]*Tabla2[[#This Row],['# días]]</f>
        <v>0</v>
      </c>
      <c r="H49" s="25"/>
      <c r="I49" s="25"/>
      <c r="J49" s="25"/>
    </row>
    <row r="50" spans="1:10" s="27" customFormat="1" ht="59.25" customHeight="1" x14ac:dyDescent="0.25">
      <c r="A50" s="20"/>
      <c r="B50" s="21"/>
      <c r="C50" s="21"/>
      <c r="D50" s="21"/>
      <c r="E50" s="25"/>
      <c r="F50" s="28"/>
      <c r="G50" s="33">
        <f>+Tabla2[[#This Row],[Viáticos]]*Tabla2[[#This Row],['# días]]</f>
        <v>0</v>
      </c>
      <c r="H50" s="25"/>
      <c r="I50" s="25"/>
      <c r="J50" s="25"/>
    </row>
    <row r="51" spans="1:10" s="27" customFormat="1" ht="78" customHeight="1" x14ac:dyDescent="0.25">
      <c r="A51" s="20"/>
      <c r="B51" s="21"/>
      <c r="C51" s="21"/>
      <c r="D51" s="21"/>
      <c r="E51" s="25"/>
      <c r="F51" s="28"/>
      <c r="G51" s="33">
        <f>+Tabla2[[#This Row],[Viáticos]]*Tabla2[[#This Row],['# días]]</f>
        <v>0</v>
      </c>
      <c r="H51" s="25"/>
      <c r="I51" s="25"/>
      <c r="J51" s="25"/>
    </row>
    <row r="52" spans="1:10" s="27" customFormat="1" ht="78" customHeight="1" x14ac:dyDescent="0.25">
      <c r="A52" s="20"/>
      <c r="B52" s="21"/>
      <c r="C52" s="21"/>
      <c r="D52" s="21"/>
      <c r="E52" s="25"/>
      <c r="F52" s="28"/>
      <c r="G52" s="33">
        <f>+Tabla2[[#This Row],[Viáticos]]*Tabla2[[#This Row],['# días]]</f>
        <v>0</v>
      </c>
      <c r="H52" s="25"/>
      <c r="I52" s="25"/>
      <c r="J52" s="25"/>
    </row>
    <row r="53" spans="1:10" s="27" customFormat="1" ht="78" customHeight="1" x14ac:dyDescent="0.25">
      <c r="A53" s="20"/>
      <c r="B53" s="21"/>
      <c r="C53" s="21"/>
      <c r="D53" s="21"/>
      <c r="E53" s="25"/>
      <c r="F53" s="28"/>
      <c r="G53" s="33">
        <f>+Tabla2[[#This Row],[Viáticos]]*Tabla2[[#This Row],['# días]]</f>
        <v>0</v>
      </c>
      <c r="H53" s="25"/>
      <c r="I53" s="25"/>
      <c r="J53" s="25"/>
    </row>
    <row r="54" spans="1:10" s="27" customFormat="1" ht="90" customHeight="1" x14ac:dyDescent="0.25">
      <c r="A54" s="20"/>
      <c r="B54" s="21"/>
      <c r="C54" s="21"/>
      <c r="D54" s="21"/>
      <c r="E54" s="25"/>
      <c r="F54" s="28"/>
      <c r="G54" s="33">
        <f>+Tabla2[[#This Row],[Viáticos]]*Tabla2[[#This Row],['# días]]</f>
        <v>0</v>
      </c>
      <c r="H54" s="25"/>
      <c r="I54" s="25"/>
      <c r="J54" s="25"/>
    </row>
    <row r="55" spans="1:10" s="27" customFormat="1" ht="87" customHeight="1" x14ac:dyDescent="0.25">
      <c r="A55" s="20"/>
      <c r="B55" s="21"/>
      <c r="C55" s="21"/>
      <c r="D55" s="21"/>
      <c r="E55" s="25"/>
      <c r="F55" s="28"/>
      <c r="G55" s="33">
        <f>+Tabla2[[#This Row],[Viáticos]]*Tabla2[[#This Row],['# días]]</f>
        <v>0</v>
      </c>
      <c r="H55" s="25"/>
      <c r="I55" s="25"/>
      <c r="J55" s="25"/>
    </row>
    <row r="56" spans="1:10" s="27" customFormat="1" ht="75.75" customHeight="1" x14ac:dyDescent="0.25">
      <c r="A56" s="20"/>
      <c r="B56" s="21"/>
      <c r="C56" s="21"/>
      <c r="D56" s="21"/>
      <c r="E56" s="25"/>
      <c r="F56" s="28"/>
      <c r="G56" s="33">
        <f>+Tabla2[[#This Row],[Viáticos]]*Tabla2[[#This Row],['# días]]</f>
        <v>0</v>
      </c>
      <c r="H56" s="25"/>
      <c r="I56" s="25"/>
      <c r="J56" s="25"/>
    </row>
    <row r="57" spans="1:10" s="27" customFormat="1" ht="81.75" customHeight="1" x14ac:dyDescent="0.25">
      <c r="A57" s="20"/>
      <c r="B57" s="21"/>
      <c r="C57" s="21"/>
      <c r="D57" s="21"/>
      <c r="E57" s="25"/>
      <c r="F57" s="28"/>
      <c r="G57" s="33">
        <f>+Tabla2[[#This Row],[Viáticos]]*Tabla2[[#This Row],['# días]]</f>
        <v>0</v>
      </c>
      <c r="H57" s="25"/>
      <c r="I57" s="25"/>
      <c r="J57" s="25"/>
    </row>
    <row r="58" spans="1:10" s="27" customFormat="1" ht="99.75" customHeight="1" x14ac:dyDescent="0.25">
      <c r="A58" s="20"/>
      <c r="B58" s="21"/>
      <c r="C58" s="21"/>
      <c r="D58" s="21"/>
      <c r="E58" s="25"/>
      <c r="F58" s="28"/>
      <c r="G58" s="33">
        <f>+Tabla2[[#This Row],[Viáticos]]*Tabla2[[#This Row],['# días]]</f>
        <v>0</v>
      </c>
      <c r="H58" s="25"/>
      <c r="I58" s="25"/>
      <c r="J58" s="25"/>
    </row>
    <row r="59" spans="1:10" s="27" customFormat="1" ht="101.25" customHeight="1" x14ac:dyDescent="0.25">
      <c r="A59" s="20"/>
      <c r="B59" s="21"/>
      <c r="C59" s="21"/>
      <c r="D59" s="21"/>
      <c r="E59" s="25"/>
      <c r="F59" s="28"/>
      <c r="G59" s="33">
        <f>+Tabla2[[#This Row],[Viáticos]]*Tabla2[[#This Row],['# días]]</f>
        <v>0</v>
      </c>
      <c r="H59" s="25"/>
      <c r="I59" s="25"/>
      <c r="J59" s="25"/>
    </row>
    <row r="60" spans="1:10" s="27" customFormat="1" ht="75" customHeight="1" x14ac:dyDescent="0.25">
      <c r="A60" s="20"/>
      <c r="B60" s="21"/>
      <c r="C60" s="21"/>
      <c r="D60" s="21"/>
      <c r="E60" s="25"/>
      <c r="F60" s="28"/>
      <c r="G60" s="33">
        <f>+Tabla2[[#This Row],[Viáticos]]*Tabla2[[#This Row],['# días]]</f>
        <v>0</v>
      </c>
      <c r="H60" s="25"/>
      <c r="I60" s="25"/>
      <c r="J60" s="25"/>
    </row>
    <row r="61" spans="1:10" s="45" customFormat="1" ht="90.75" customHeight="1" x14ac:dyDescent="0.3">
      <c r="A61" s="20"/>
      <c r="B61" s="21"/>
      <c r="C61" s="21"/>
      <c r="D61" s="21"/>
      <c r="E61" s="25"/>
      <c r="F61" s="28"/>
      <c r="G61" s="33">
        <f>+Tabla2[[#This Row],[Viáticos]]*Tabla2[[#This Row],['# días]]</f>
        <v>0</v>
      </c>
      <c r="H61" s="25"/>
      <c r="I61" s="25"/>
      <c r="J61" s="25"/>
    </row>
    <row r="62" spans="1:10" s="27" customFormat="1" ht="90.75" customHeight="1" x14ac:dyDescent="0.25">
      <c r="A62" s="20"/>
      <c r="B62" s="21"/>
      <c r="C62" s="21"/>
      <c r="D62" s="21"/>
      <c r="E62" s="25"/>
      <c r="F62" s="28"/>
      <c r="G62" s="33">
        <f>+Tabla2[[#This Row],[Viáticos]]*Tabla2[[#This Row],['# días]]</f>
        <v>0</v>
      </c>
      <c r="H62" s="25"/>
      <c r="I62" s="25"/>
      <c r="J62" s="25"/>
    </row>
    <row r="63" spans="1:10" s="27" customFormat="1" ht="90.75" customHeight="1" x14ac:dyDescent="0.25">
      <c r="A63" s="20"/>
      <c r="B63" s="21"/>
      <c r="C63" s="21"/>
      <c r="D63" s="21"/>
      <c r="E63" s="25"/>
      <c r="F63" s="28"/>
      <c r="G63" s="33">
        <f>+Tabla2[[#This Row],[Viáticos]]*Tabla2[[#This Row],['# días]]</f>
        <v>0</v>
      </c>
      <c r="H63" s="25"/>
      <c r="I63" s="25"/>
      <c r="J63" s="25"/>
    </row>
    <row r="64" spans="1:10" s="27" customFormat="1" ht="90.75" customHeight="1" x14ac:dyDescent="0.25">
      <c r="A64" s="20"/>
      <c r="B64" s="21"/>
      <c r="C64" s="21"/>
      <c r="D64" s="21"/>
      <c r="E64" s="25"/>
      <c r="F64" s="28"/>
      <c r="G64" s="33">
        <f>+Tabla2[[#This Row],[Viáticos]]*Tabla2[[#This Row],['# días]]</f>
        <v>0</v>
      </c>
      <c r="H64" s="25"/>
      <c r="I64" s="25"/>
      <c r="J64" s="25"/>
    </row>
    <row r="65" spans="1:10" s="27" customFormat="1" ht="72.75" customHeight="1" x14ac:dyDescent="0.25">
      <c r="A65" s="20"/>
      <c r="B65" s="21"/>
      <c r="C65" s="21"/>
      <c r="D65" s="21"/>
      <c r="E65" s="25"/>
      <c r="F65" s="28"/>
      <c r="G65" s="33">
        <f>+Tabla2[[#This Row],[Viáticos]]*Tabla2[[#This Row],['# días]]</f>
        <v>0</v>
      </c>
      <c r="H65" s="25"/>
      <c r="I65" s="25"/>
      <c r="J65" s="25"/>
    </row>
    <row r="66" spans="1:10" s="27" customFormat="1" ht="90.75" customHeight="1" x14ac:dyDescent="0.25">
      <c r="A66" s="20"/>
      <c r="B66" s="21"/>
      <c r="C66" s="21"/>
      <c r="D66" s="21"/>
      <c r="E66" s="25"/>
      <c r="F66" s="28"/>
      <c r="G66" s="33">
        <f>+Tabla2[[#This Row],[Viáticos]]*Tabla2[[#This Row],['# días]]</f>
        <v>0</v>
      </c>
      <c r="H66" s="25"/>
      <c r="I66" s="25"/>
      <c r="J66" s="25"/>
    </row>
    <row r="67" spans="1:10" s="27" customFormat="1" ht="94.5" customHeight="1" x14ac:dyDescent="0.25">
      <c r="A67" s="20"/>
      <c r="B67" s="21"/>
      <c r="C67" s="21"/>
      <c r="D67" s="21"/>
      <c r="E67" s="25"/>
      <c r="F67" s="28"/>
      <c r="G67" s="33">
        <f>+Tabla2[[#This Row],[Viáticos]]*Tabla2[[#This Row],['# días]]</f>
        <v>0</v>
      </c>
      <c r="H67" s="25"/>
      <c r="I67" s="25"/>
      <c r="J67" s="25"/>
    </row>
    <row r="68" spans="1:10" s="27" customFormat="1" ht="88.5" customHeight="1" x14ac:dyDescent="0.25">
      <c r="A68" s="20"/>
      <c r="B68" s="21"/>
      <c r="C68" s="21"/>
      <c r="D68" s="21"/>
      <c r="E68" s="25"/>
      <c r="F68" s="28"/>
      <c r="G68" s="33">
        <f>+Tabla2[[#This Row],[Viáticos]]*Tabla2[[#This Row],['# días]]</f>
        <v>0</v>
      </c>
      <c r="H68" s="25"/>
      <c r="I68" s="25"/>
      <c r="J68" s="25"/>
    </row>
    <row r="69" spans="1:10" s="27" customFormat="1" ht="79.5" customHeight="1" x14ac:dyDescent="0.25">
      <c r="A69" s="20"/>
      <c r="B69" s="21"/>
      <c r="C69" s="21"/>
      <c r="D69" s="21"/>
      <c r="E69" s="25"/>
      <c r="F69" s="28"/>
      <c r="G69" s="33">
        <f>+Tabla2[[#This Row],[Viáticos]]*Tabla2[[#This Row],['# días]]</f>
        <v>0</v>
      </c>
      <c r="H69" s="25"/>
      <c r="I69" s="25"/>
      <c r="J69" s="25"/>
    </row>
    <row r="70" spans="1:10" s="27" customFormat="1" ht="114.75" customHeight="1" x14ac:dyDescent="0.25">
      <c r="A70" s="20"/>
      <c r="B70" s="21"/>
      <c r="C70" s="21"/>
      <c r="D70" s="21"/>
      <c r="E70" s="25"/>
      <c r="F70" s="28"/>
      <c r="G70" s="33">
        <f>+Tabla2[[#This Row],[Viáticos]]*Tabla2[[#This Row],['# días]]</f>
        <v>0</v>
      </c>
      <c r="H70" s="25"/>
      <c r="I70" s="25"/>
      <c r="J70" s="25"/>
    </row>
    <row r="71" spans="1:10" s="27" customFormat="1" ht="93.75" customHeight="1" x14ac:dyDescent="0.25">
      <c r="A71" s="20"/>
      <c r="B71" s="21"/>
      <c r="C71" s="21"/>
      <c r="D71" s="21"/>
      <c r="E71" s="25"/>
      <c r="F71" s="28"/>
      <c r="G71" s="33">
        <f>+Tabla2[[#This Row],[Viáticos]]*Tabla2[[#This Row],['# días]]</f>
        <v>0</v>
      </c>
      <c r="H71" s="25"/>
      <c r="I71" s="25"/>
      <c r="J71" s="25"/>
    </row>
    <row r="72" spans="1:10" s="27" customFormat="1" ht="99.75" customHeight="1" x14ac:dyDescent="0.25">
      <c r="A72" s="20"/>
      <c r="B72" s="21"/>
      <c r="C72" s="21"/>
      <c r="D72" s="21"/>
      <c r="E72" s="25"/>
      <c r="F72" s="28"/>
      <c r="G72" s="33">
        <f>+Tabla2[[#This Row],[Viáticos]]*Tabla2[[#This Row],['# días]]</f>
        <v>0</v>
      </c>
      <c r="H72" s="25"/>
      <c r="I72" s="25"/>
      <c r="J72" s="25"/>
    </row>
    <row r="73" spans="1:10" s="27" customFormat="1" ht="113.25" customHeight="1" x14ac:dyDescent="0.25">
      <c r="A73" s="20"/>
      <c r="B73" s="21"/>
      <c r="C73" s="21"/>
      <c r="D73" s="21"/>
      <c r="E73" s="25"/>
      <c r="F73" s="28"/>
      <c r="G73" s="33">
        <f>+Tabla2[[#This Row],[Viáticos]]*Tabla2[[#This Row],['# días]]</f>
        <v>0</v>
      </c>
      <c r="H73" s="25"/>
      <c r="I73" s="25"/>
      <c r="J73" s="25"/>
    </row>
    <row r="74" spans="1:10" s="27" customFormat="1" ht="102" customHeight="1" x14ac:dyDescent="0.25">
      <c r="A74" s="20"/>
      <c r="B74" s="21"/>
      <c r="C74" s="21"/>
      <c r="D74" s="21"/>
      <c r="E74" s="25"/>
      <c r="F74" s="28"/>
      <c r="G74" s="33">
        <f>+Tabla2[[#This Row],[Viáticos]]*Tabla2[[#This Row],['# días]]</f>
        <v>0</v>
      </c>
      <c r="H74" s="25"/>
      <c r="I74" s="25"/>
      <c r="J74" s="25"/>
    </row>
    <row r="75" spans="1:10" s="27" customFormat="1" ht="110.25" customHeight="1" x14ac:dyDescent="0.25">
      <c r="A75" s="20"/>
      <c r="B75" s="21"/>
      <c r="C75" s="21"/>
      <c r="D75" s="21"/>
      <c r="E75" s="25"/>
      <c r="F75" s="28"/>
      <c r="G75" s="33">
        <f>+Tabla2[[#This Row],[Viáticos]]*Tabla2[[#This Row],['# días]]</f>
        <v>0</v>
      </c>
      <c r="H75" s="25"/>
      <c r="I75" s="25"/>
      <c r="J75" s="25"/>
    </row>
    <row r="76" spans="1:10" s="27" customFormat="1" ht="138" customHeight="1" x14ac:dyDescent="0.25">
      <c r="A76" s="20"/>
      <c r="B76" s="21"/>
      <c r="C76" s="21"/>
      <c r="D76" s="21"/>
      <c r="E76" s="25"/>
      <c r="F76" s="28"/>
      <c r="G76" s="33">
        <f>+Tabla2[[#This Row],[Viáticos]]*Tabla2[[#This Row],['# días]]</f>
        <v>0</v>
      </c>
      <c r="H76" s="25"/>
      <c r="I76" s="25"/>
      <c r="J76" s="25"/>
    </row>
    <row r="77" spans="1:10" s="27" customFormat="1" ht="100.5" customHeight="1" x14ac:dyDescent="0.25">
      <c r="A77" s="20"/>
      <c r="B77" s="21"/>
      <c r="C77" s="21"/>
      <c r="D77" s="21"/>
      <c r="E77" s="25"/>
      <c r="F77" s="28"/>
      <c r="G77" s="33">
        <f>+Tabla2[[#This Row],[Viáticos]]*Tabla2[[#This Row],['# días]]</f>
        <v>0</v>
      </c>
      <c r="H77" s="25"/>
      <c r="I77" s="25"/>
      <c r="J77" s="25"/>
    </row>
    <row r="78" spans="1:10" s="27" customFormat="1" ht="104.25" customHeight="1" x14ac:dyDescent="0.25">
      <c r="A78" s="20"/>
      <c r="B78" s="21"/>
      <c r="C78" s="21"/>
      <c r="D78" s="21"/>
      <c r="E78" s="25"/>
      <c r="F78" s="28"/>
      <c r="G78" s="33">
        <f>+Tabla2[[#This Row],[Viáticos]]*Tabla2[[#This Row],['# días]]</f>
        <v>0</v>
      </c>
      <c r="H78" s="25"/>
      <c r="I78" s="25"/>
      <c r="J78" s="25"/>
    </row>
    <row r="79" spans="1:10" s="27" customFormat="1" ht="102" customHeight="1" x14ac:dyDescent="0.25">
      <c r="A79" s="20"/>
      <c r="B79" s="21"/>
      <c r="C79" s="21"/>
      <c r="D79" s="21"/>
      <c r="E79" s="25"/>
      <c r="F79" s="28"/>
      <c r="G79" s="33">
        <f>+Tabla2[[#This Row],[Viáticos]]*Tabla2[[#This Row],['# días]]</f>
        <v>0</v>
      </c>
      <c r="H79" s="25"/>
      <c r="I79" s="25"/>
      <c r="J79" s="25"/>
    </row>
    <row r="80" spans="1:10" s="27" customFormat="1" ht="114" customHeight="1" x14ac:dyDescent="0.25">
      <c r="A80" s="20"/>
      <c r="B80" s="21"/>
      <c r="C80" s="21"/>
      <c r="D80" s="21"/>
      <c r="E80" s="25"/>
      <c r="F80" s="28"/>
      <c r="G80" s="33">
        <f>+Tabla2[[#This Row],[Viáticos]]*Tabla2[[#This Row],['# días]]</f>
        <v>0</v>
      </c>
      <c r="H80" s="25"/>
      <c r="I80" s="25"/>
      <c r="J80" s="25"/>
    </row>
    <row r="81" spans="1:10" s="27" customFormat="1" ht="138" customHeight="1" x14ac:dyDescent="0.25">
      <c r="A81" s="20"/>
      <c r="B81" s="21"/>
      <c r="C81" s="21"/>
      <c r="D81" s="21"/>
      <c r="E81" s="25"/>
      <c r="F81" s="28"/>
      <c r="G81" s="33">
        <f>+Tabla2[[#This Row],[Viáticos]]*Tabla2[[#This Row],['# días]]</f>
        <v>0</v>
      </c>
      <c r="H81" s="25"/>
      <c r="I81" s="25"/>
      <c r="J81" s="25"/>
    </row>
    <row r="82" spans="1:10" s="27" customFormat="1" ht="113.25" customHeight="1" x14ac:dyDescent="0.25">
      <c r="A82" s="20"/>
      <c r="B82" s="21"/>
      <c r="C82" s="21"/>
      <c r="D82" s="21"/>
      <c r="E82" s="25"/>
      <c r="F82" s="28"/>
      <c r="G82" s="33">
        <f>+Tabla2[[#This Row],[Viáticos]]*Tabla2[[#This Row],['# días]]</f>
        <v>0</v>
      </c>
      <c r="H82" s="25"/>
      <c r="I82" s="25"/>
      <c r="J82" s="25"/>
    </row>
    <row r="83" spans="1:10" s="27" customFormat="1" ht="114" customHeight="1" x14ac:dyDescent="0.25">
      <c r="A83" s="20"/>
      <c r="B83" s="21"/>
      <c r="C83" s="21"/>
      <c r="D83" s="21"/>
      <c r="E83" s="25"/>
      <c r="F83" s="28"/>
      <c r="G83" s="33">
        <f>+Tabla2[[#This Row],[Viáticos]]*Tabla2[[#This Row],['# días]]</f>
        <v>0</v>
      </c>
      <c r="H83" s="25"/>
      <c r="I83" s="25"/>
      <c r="J83" s="25"/>
    </row>
    <row r="84" spans="1:10" s="27" customFormat="1" ht="110.25" customHeight="1" x14ac:dyDescent="0.25">
      <c r="A84" s="20"/>
      <c r="B84" s="21"/>
      <c r="C84" s="21"/>
      <c r="D84" s="21"/>
      <c r="E84" s="25"/>
      <c r="F84" s="28"/>
      <c r="G84" s="33">
        <f>+Tabla2[[#This Row],[Viáticos]]*Tabla2[[#This Row],['# días]]</f>
        <v>0</v>
      </c>
      <c r="H84" s="25"/>
      <c r="I84" s="25"/>
      <c r="J84" s="25"/>
    </row>
    <row r="85" spans="1:10" s="27" customFormat="1" ht="110.25" customHeight="1" x14ac:dyDescent="0.25">
      <c r="A85" s="20" t="s">
        <v>42</v>
      </c>
      <c r="B85" s="21" t="s">
        <v>739</v>
      </c>
      <c r="C85" s="21" t="s">
        <v>740</v>
      </c>
      <c r="D85" s="21" t="s">
        <v>741</v>
      </c>
      <c r="E85" s="22">
        <v>171283</v>
      </c>
      <c r="F85" s="23">
        <v>4.5</v>
      </c>
      <c r="G85" s="46">
        <f t="shared" ref="G85:G103" si="7">E85*F85</f>
        <v>770773.5</v>
      </c>
      <c r="H85" s="25">
        <v>800000</v>
      </c>
      <c r="I85" s="25"/>
      <c r="J85" s="25"/>
    </row>
    <row r="86" spans="1:10" s="27" customFormat="1" ht="110.25" customHeight="1" x14ac:dyDescent="0.25">
      <c r="A86" s="20" t="s">
        <v>42</v>
      </c>
      <c r="B86" s="21" t="s">
        <v>739</v>
      </c>
      <c r="C86" s="21" t="s">
        <v>742</v>
      </c>
      <c r="D86" s="21" t="s">
        <v>741</v>
      </c>
      <c r="E86" s="25"/>
      <c r="F86" s="28"/>
      <c r="G86" s="33"/>
      <c r="H86" s="25"/>
      <c r="I86" s="25"/>
      <c r="J86" s="25"/>
    </row>
    <row r="87" spans="1:10" s="27" customFormat="1" ht="114" customHeight="1" x14ac:dyDescent="0.25">
      <c r="A87" s="20" t="s">
        <v>42</v>
      </c>
      <c r="B87" s="21" t="s">
        <v>739</v>
      </c>
      <c r="C87" s="21" t="s">
        <v>743</v>
      </c>
      <c r="D87" s="21" t="s">
        <v>741</v>
      </c>
      <c r="E87" s="25"/>
      <c r="F87" s="28"/>
      <c r="G87" s="33"/>
      <c r="H87" s="25"/>
      <c r="I87" s="25">
        <v>30000</v>
      </c>
      <c r="J87" s="25"/>
    </row>
    <row r="88" spans="1:10" s="27" customFormat="1" ht="117" customHeight="1" x14ac:dyDescent="0.25">
      <c r="A88" s="20" t="s">
        <v>42</v>
      </c>
      <c r="B88" s="21" t="s">
        <v>744</v>
      </c>
      <c r="C88" s="21" t="s">
        <v>745</v>
      </c>
      <c r="D88" s="21" t="s">
        <v>746</v>
      </c>
      <c r="E88" s="22">
        <v>171283</v>
      </c>
      <c r="F88" s="23">
        <v>4.5</v>
      </c>
      <c r="G88" s="46">
        <f t="shared" ref="G88" si="8">E88*F88</f>
        <v>770773.5</v>
      </c>
      <c r="H88" s="25"/>
      <c r="I88" s="25">
        <v>30000</v>
      </c>
      <c r="J88" s="25"/>
    </row>
    <row r="89" spans="1:10" s="27" customFormat="1" ht="105.75" customHeight="1" x14ac:dyDescent="0.25">
      <c r="A89" s="20" t="s">
        <v>42</v>
      </c>
      <c r="B89" s="21" t="s">
        <v>744</v>
      </c>
      <c r="C89" s="21" t="s">
        <v>747</v>
      </c>
      <c r="D89" s="21" t="s">
        <v>746</v>
      </c>
      <c r="E89" s="25"/>
      <c r="F89" s="28"/>
      <c r="G89" s="33">
        <f t="shared" si="7"/>
        <v>0</v>
      </c>
      <c r="H89" s="25"/>
      <c r="I89" s="25">
        <v>40000</v>
      </c>
      <c r="J89" s="25"/>
    </row>
    <row r="90" spans="1:10" s="27" customFormat="1" ht="105.75" customHeight="1" x14ac:dyDescent="0.25">
      <c r="A90" s="20" t="s">
        <v>42</v>
      </c>
      <c r="B90" s="21" t="s">
        <v>744</v>
      </c>
      <c r="C90" s="21" t="s">
        <v>748</v>
      </c>
      <c r="D90" s="21" t="s">
        <v>746</v>
      </c>
      <c r="E90" s="25"/>
      <c r="F90" s="28"/>
      <c r="G90" s="33">
        <f t="shared" si="7"/>
        <v>0</v>
      </c>
      <c r="H90" s="25"/>
      <c r="I90" s="25">
        <v>10000</v>
      </c>
      <c r="J90" s="25"/>
    </row>
    <row r="91" spans="1:10" s="27" customFormat="1" ht="105.75" customHeight="1" x14ac:dyDescent="0.25">
      <c r="A91" s="20" t="s">
        <v>42</v>
      </c>
      <c r="B91" s="21" t="s">
        <v>744</v>
      </c>
      <c r="C91" s="21" t="s">
        <v>749</v>
      </c>
      <c r="D91" s="21" t="s">
        <v>746</v>
      </c>
      <c r="E91" s="25"/>
      <c r="F91" s="28"/>
      <c r="G91" s="33">
        <f t="shared" si="7"/>
        <v>0</v>
      </c>
      <c r="H91" s="25"/>
      <c r="I91" s="25">
        <v>15000</v>
      </c>
      <c r="J91" s="25"/>
    </row>
    <row r="92" spans="1:10" s="27" customFormat="1" ht="106.5" customHeight="1" x14ac:dyDescent="0.25">
      <c r="A92" s="20" t="s">
        <v>42</v>
      </c>
      <c r="B92" s="21" t="s">
        <v>750</v>
      </c>
      <c r="C92" s="21" t="s">
        <v>751</v>
      </c>
      <c r="D92" s="21" t="s">
        <v>752</v>
      </c>
      <c r="E92" s="22">
        <v>228866</v>
      </c>
      <c r="F92" s="23">
        <v>4.5</v>
      </c>
      <c r="G92" s="46">
        <f t="shared" si="7"/>
        <v>1029897</v>
      </c>
      <c r="H92" s="25">
        <v>800000</v>
      </c>
      <c r="I92" s="25">
        <v>40000</v>
      </c>
      <c r="J92" s="25"/>
    </row>
    <row r="93" spans="1:10" s="27" customFormat="1" ht="55.5" customHeight="1" x14ac:dyDescent="0.25">
      <c r="A93" s="20" t="s">
        <v>42</v>
      </c>
      <c r="B93" s="21" t="s">
        <v>750</v>
      </c>
      <c r="C93" s="21" t="s">
        <v>753</v>
      </c>
      <c r="D93" s="21" t="s">
        <v>752</v>
      </c>
      <c r="E93" s="25"/>
      <c r="F93" s="28"/>
      <c r="G93" s="33">
        <f t="shared" si="7"/>
        <v>0</v>
      </c>
      <c r="H93" s="25"/>
      <c r="I93" s="25">
        <v>10000</v>
      </c>
      <c r="J93" s="25"/>
    </row>
    <row r="94" spans="1:10" s="27" customFormat="1" ht="55.5" customHeight="1" x14ac:dyDescent="0.25">
      <c r="A94" s="20" t="s">
        <v>42</v>
      </c>
      <c r="B94" s="21" t="s">
        <v>750</v>
      </c>
      <c r="C94" s="21" t="s">
        <v>754</v>
      </c>
      <c r="D94" s="21" t="s">
        <v>752</v>
      </c>
      <c r="E94" s="25"/>
      <c r="F94" s="28"/>
      <c r="G94" s="33">
        <f t="shared" si="7"/>
        <v>0</v>
      </c>
      <c r="H94" s="25"/>
      <c r="I94" s="25">
        <v>30000</v>
      </c>
      <c r="J94" s="25"/>
    </row>
    <row r="95" spans="1:10" s="27" customFormat="1" ht="55.5" customHeight="1" x14ac:dyDescent="0.25">
      <c r="A95" s="20" t="s">
        <v>42</v>
      </c>
      <c r="B95" s="21" t="s">
        <v>750</v>
      </c>
      <c r="C95" s="21" t="s">
        <v>755</v>
      </c>
      <c r="D95" s="21" t="s">
        <v>752</v>
      </c>
      <c r="E95" s="25"/>
      <c r="F95" s="28"/>
      <c r="G95" s="33">
        <f t="shared" si="7"/>
        <v>0</v>
      </c>
      <c r="H95" s="25"/>
      <c r="I95" s="25">
        <v>15000</v>
      </c>
      <c r="J95" s="25"/>
    </row>
    <row r="96" spans="1:10" s="27" customFormat="1" ht="55.5" customHeight="1" x14ac:dyDescent="0.25">
      <c r="A96" s="20" t="s">
        <v>42</v>
      </c>
      <c r="B96" s="21" t="s">
        <v>756</v>
      </c>
      <c r="C96" s="21" t="s">
        <v>757</v>
      </c>
      <c r="D96" s="21" t="s">
        <v>758</v>
      </c>
      <c r="E96" s="22">
        <v>171283</v>
      </c>
      <c r="F96" s="23">
        <v>4.5</v>
      </c>
      <c r="G96" s="46">
        <f t="shared" si="7"/>
        <v>770773.5</v>
      </c>
      <c r="H96" s="25">
        <v>800000</v>
      </c>
      <c r="I96" s="25">
        <v>10000</v>
      </c>
      <c r="J96" s="25"/>
    </row>
    <row r="97" spans="1:10" s="27" customFormat="1" ht="55.5" customHeight="1" x14ac:dyDescent="0.25">
      <c r="A97" s="20" t="s">
        <v>42</v>
      </c>
      <c r="B97" s="21" t="s">
        <v>756</v>
      </c>
      <c r="C97" s="21" t="s">
        <v>760</v>
      </c>
      <c r="D97" s="21" t="s">
        <v>758</v>
      </c>
      <c r="E97" s="25"/>
      <c r="F97" s="28"/>
      <c r="G97" s="33">
        <f t="shared" si="7"/>
        <v>0</v>
      </c>
      <c r="H97" s="25"/>
      <c r="I97" s="25">
        <v>10000</v>
      </c>
      <c r="J97" s="25"/>
    </row>
    <row r="98" spans="1:10" s="27" customFormat="1" ht="55.5" customHeight="1" x14ac:dyDescent="0.25">
      <c r="A98" s="20" t="s">
        <v>42</v>
      </c>
      <c r="B98" s="21" t="s">
        <v>761</v>
      </c>
      <c r="C98" s="21" t="s">
        <v>762</v>
      </c>
      <c r="D98" s="21" t="s">
        <v>763</v>
      </c>
      <c r="E98" s="22">
        <v>171283</v>
      </c>
      <c r="F98" s="23">
        <v>4.5</v>
      </c>
      <c r="G98" s="46">
        <f t="shared" si="7"/>
        <v>770773.5</v>
      </c>
      <c r="H98" s="25"/>
      <c r="I98" s="25">
        <v>60000</v>
      </c>
      <c r="J98" s="25"/>
    </row>
    <row r="99" spans="1:10" s="27" customFormat="1" ht="55.5" customHeight="1" x14ac:dyDescent="0.25">
      <c r="A99" s="20" t="s">
        <v>42</v>
      </c>
      <c r="B99" s="21" t="s">
        <v>764</v>
      </c>
      <c r="C99" s="21" t="s">
        <v>765</v>
      </c>
      <c r="D99" s="21" t="s">
        <v>766</v>
      </c>
      <c r="E99" s="22">
        <v>171283</v>
      </c>
      <c r="F99" s="23">
        <v>4.5</v>
      </c>
      <c r="G99" s="46">
        <f t="shared" si="7"/>
        <v>770773.5</v>
      </c>
      <c r="H99" s="25">
        <v>800000</v>
      </c>
      <c r="I99" s="25">
        <v>60000</v>
      </c>
      <c r="J99" s="25"/>
    </row>
    <row r="100" spans="1:10" s="27" customFormat="1" ht="94.5" customHeight="1" x14ac:dyDescent="0.25">
      <c r="A100" s="20" t="s">
        <v>42</v>
      </c>
      <c r="B100" s="21" t="s">
        <v>767</v>
      </c>
      <c r="C100" s="21" t="s">
        <v>768</v>
      </c>
      <c r="D100" s="21" t="s">
        <v>763</v>
      </c>
      <c r="E100" s="22">
        <v>171283</v>
      </c>
      <c r="F100" s="23">
        <v>4.5</v>
      </c>
      <c r="G100" s="46">
        <f t="shared" si="7"/>
        <v>770773.5</v>
      </c>
      <c r="H100" s="25">
        <v>800000</v>
      </c>
      <c r="I100" s="25">
        <v>50000</v>
      </c>
      <c r="J100" s="25"/>
    </row>
    <row r="101" spans="1:10" s="27" customFormat="1" ht="99" customHeight="1" x14ac:dyDescent="0.25">
      <c r="A101" s="20" t="s">
        <v>42</v>
      </c>
      <c r="B101" s="21" t="s">
        <v>817</v>
      </c>
      <c r="C101" s="21" t="s">
        <v>770</v>
      </c>
      <c r="D101" s="21" t="s">
        <v>771</v>
      </c>
      <c r="E101" s="22">
        <v>228866</v>
      </c>
      <c r="F101" s="23">
        <v>4.5</v>
      </c>
      <c r="G101" s="46">
        <f t="shared" si="7"/>
        <v>1029897</v>
      </c>
      <c r="H101" s="25">
        <v>800000</v>
      </c>
      <c r="I101" s="25"/>
      <c r="J101" s="25"/>
    </row>
    <row r="102" spans="1:10" s="27" customFormat="1" ht="60" x14ac:dyDescent="0.25">
      <c r="A102" s="20" t="s">
        <v>42</v>
      </c>
      <c r="B102" s="21" t="s">
        <v>772</v>
      </c>
      <c r="C102" s="21" t="s">
        <v>773</v>
      </c>
      <c r="D102" s="21" t="s">
        <v>774</v>
      </c>
      <c r="E102" s="22">
        <v>171283</v>
      </c>
      <c r="F102" s="23">
        <v>4.5</v>
      </c>
      <c r="G102" s="46">
        <f t="shared" si="7"/>
        <v>770773.5</v>
      </c>
      <c r="H102" s="25">
        <v>800000</v>
      </c>
      <c r="I102" s="25">
        <v>15000</v>
      </c>
      <c r="J102" s="25"/>
    </row>
    <row r="103" spans="1:10" ht="84.75" customHeight="1" x14ac:dyDescent="0.25">
      <c r="A103" s="20" t="s">
        <v>42</v>
      </c>
      <c r="B103" s="21" t="s">
        <v>772</v>
      </c>
      <c r="C103" s="21" t="s">
        <v>775</v>
      </c>
      <c r="D103" s="21" t="s">
        <v>774</v>
      </c>
      <c r="E103" s="25"/>
      <c r="F103" s="28"/>
      <c r="G103" s="33">
        <f t="shared" si="7"/>
        <v>0</v>
      </c>
      <c r="H103" s="25"/>
      <c r="I103" s="25">
        <v>15000</v>
      </c>
      <c r="J103" s="47"/>
    </row>
    <row r="104" spans="1:10" ht="46.5" customHeight="1" x14ac:dyDescent="0.25">
      <c r="A104" s="161"/>
      <c r="B104" s="162"/>
      <c r="C104" s="162"/>
      <c r="D104" s="162"/>
      <c r="E104" s="163"/>
      <c r="F104" s="164"/>
      <c r="G104" s="165">
        <f>SUBTOTAL(109,Tabla2[SUBTOTAL Viaticos])</f>
        <v>45893843.5</v>
      </c>
      <c r="H104" s="163"/>
      <c r="I104" s="163"/>
      <c r="J104" s="163"/>
    </row>
  </sheetData>
  <dataValidations count="1">
    <dataValidation type="list" allowBlank="1" showInputMessage="1" showErrorMessage="1" sqref="A2:A103" xr:uid="{00000000-0002-0000-0400-000000000000}">
      <formula1>metas</formula1>
    </dataValidation>
  </dataValidations>
  <pageMargins left="0.7" right="0.7" top="0.75" bottom="0.75" header="0.3" footer="0.3"/>
  <pageSetup scale="39" orientation="portrait"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PLAN DE ADQUISICIONES 2021</vt:lpstr>
      <vt:lpstr>Reservas presupuestales</vt:lpstr>
      <vt:lpstr>Metas cuatrenio</vt:lpstr>
      <vt:lpstr>Hoja1</vt:lpstr>
      <vt:lpstr>COMISIONES</vt:lpstr>
      <vt:lpstr>'Metas cuatrenio'!_Toc16493524</vt:lpstr>
      <vt:lpstr>COMISIONES!Área_de_impresión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ROBERT TORRES VELANDIA</cp:lastModifiedBy>
  <cp:revision/>
  <dcterms:created xsi:type="dcterms:W3CDTF">2020-12-16T22:42:20Z</dcterms:created>
  <dcterms:modified xsi:type="dcterms:W3CDTF">2021-12-14T15:03:17Z</dcterms:modified>
  <cp:category/>
  <cp:contentStatus/>
</cp:coreProperties>
</file>