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defaultThemeVersion="166925"/>
  <mc:AlternateContent xmlns:mc="http://schemas.openxmlformats.org/markup-compatibility/2006">
    <mc:Choice Requires="x15">
      <x15ac:absPath xmlns:x15ac="http://schemas.microsoft.com/office/spreadsheetml/2010/11/ac" url="C:\MARTHA TRABAJO 2020-2023\PLANEACION 2023\PLAN DE ADQUISICIONES 2023\VERSIONES\"/>
    </mc:Choice>
  </mc:AlternateContent>
  <xr:revisionPtr revIDLastSave="0" documentId="8_{DBA70A2A-03B9-41CE-8C19-958607DAC77A}" xr6:coauthVersionLast="36" xr6:coauthVersionMax="36" xr10:uidLastSave="{00000000-0000-0000-0000-000000000000}"/>
  <bookViews>
    <workbookView xWindow="0" yWindow="0" windowWidth="24000" windowHeight="9435" xr2:uid="{00000000-000D-0000-FFFF-FFFF00000000}"/>
  </bookViews>
  <sheets>
    <sheet name="PLAN DE ADQUISICIONES  " sheetId="5" r:id="rId1"/>
    <sheet name="COMISIONES" sheetId="6" r:id="rId2"/>
    <sheet name="viàticos" sheetId="7" state="hidden" r:id="rId3"/>
  </sheets>
  <externalReferences>
    <externalReference r:id="rId4"/>
    <externalReference r:id="rId5"/>
  </externalReferences>
  <definedNames>
    <definedName name="_xlnm._FilterDatabase" localSheetId="0" hidden="1">'PLAN DE ADQUISICIONES  '!$A$5:$AN$183</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79" i="5" l="1"/>
  <c r="AI179" i="5"/>
  <c r="AE179" i="5"/>
  <c r="AM106" i="5" l="1"/>
  <c r="AM109" i="5"/>
  <c r="AM101" i="5"/>
  <c r="AM96" i="5"/>
  <c r="AM89" i="5"/>
  <c r="AM87" i="5"/>
  <c r="AM88" i="5"/>
  <c r="AM77" i="5"/>
  <c r="AM76" i="5"/>
  <c r="AM75" i="5"/>
  <c r="AM82" i="5"/>
  <c r="AM81" i="5"/>
  <c r="AG181" i="5"/>
  <c r="AH181" i="5"/>
  <c r="AK181" i="5"/>
  <c r="AL181" i="5"/>
  <c r="AM60" i="5"/>
  <c r="AM43" i="5"/>
  <c r="AM72" i="5"/>
  <c r="AM74" i="5"/>
  <c r="AM39" i="5"/>
  <c r="AM71" i="5"/>
  <c r="AM68" i="5"/>
  <c r="AM67" i="5"/>
  <c r="AM69" i="5"/>
  <c r="AM49" i="5"/>
  <c r="AM54" i="5"/>
  <c r="AM51" i="5"/>
  <c r="AM50" i="5"/>
  <c r="AM38" i="5"/>
  <c r="AM37" i="5"/>
  <c r="AM35" i="5"/>
  <c r="AM36" i="5"/>
  <c r="AM8" i="5"/>
  <c r="AM24" i="5"/>
  <c r="AM10" i="5"/>
  <c r="AM19" i="5"/>
  <c r="AM25" i="5"/>
  <c r="AM12" i="5"/>
  <c r="AM7" i="5"/>
  <c r="AM14" i="5"/>
  <c r="AM28" i="5"/>
  <c r="AM32" i="5"/>
  <c r="AM33" i="5"/>
  <c r="AM27" i="5"/>
  <c r="AM129" i="5"/>
  <c r="AM130" i="5"/>
  <c r="AM120" i="5"/>
  <c r="AM144" i="5"/>
  <c r="AM149" i="5"/>
  <c r="AM142" i="5"/>
  <c r="AM151" i="5"/>
  <c r="AM168" i="5"/>
  <c r="AM150" i="5"/>
  <c r="AM146" i="5"/>
  <c r="AM158" i="5"/>
  <c r="AM156" i="5"/>
  <c r="AM128" i="5"/>
  <c r="AM127" i="5"/>
  <c r="AM126" i="5"/>
  <c r="AM124" i="5"/>
  <c r="AM118" i="5"/>
  <c r="AM115" i="5"/>
  <c r="AM154" i="5"/>
  <c r="AM125" i="5"/>
  <c r="AM133" i="5"/>
  <c r="AI133" i="5"/>
  <c r="AM169" i="5"/>
  <c r="AI169" i="5"/>
  <c r="AM131" i="5"/>
  <c r="AI131" i="5"/>
  <c r="AM139" i="5"/>
  <c r="AM148" i="5"/>
  <c r="AI130" i="5"/>
  <c r="AI120" i="5"/>
  <c r="AE120" i="5"/>
  <c r="AE130" i="5"/>
  <c r="AM181" i="5" l="1"/>
  <c r="AE19" i="5"/>
  <c r="AE20" i="5"/>
  <c r="AE14" i="5"/>
  <c r="AI75" i="5" l="1"/>
  <c r="AI77" i="5"/>
  <c r="AI35" i="5"/>
  <c r="AI24" i="5" l="1"/>
  <c r="AI10" i="5"/>
  <c r="AI19" i="5"/>
  <c r="AI28" i="5"/>
  <c r="AI32" i="5"/>
  <c r="AI27" i="5"/>
  <c r="AI14" i="5"/>
  <c r="AE24" i="5"/>
  <c r="AE10" i="5"/>
  <c r="AI150" i="5"/>
  <c r="AE128" i="5"/>
  <c r="AE150" i="5"/>
  <c r="AE116" i="5" l="1"/>
  <c r="AE44" i="5"/>
  <c r="AE36" i="5" l="1"/>
  <c r="AE69" i="5" l="1"/>
  <c r="AE40" i="5" l="1"/>
  <c r="AI39" i="5"/>
  <c r="AE39" i="5"/>
  <c r="AE154" i="5"/>
  <c r="AE129" i="5"/>
  <c r="AE127" i="5"/>
  <c r="AE126" i="5"/>
  <c r="AE156" i="5"/>
  <c r="AE124" i="5"/>
  <c r="AE118" i="5"/>
  <c r="AE115" i="5"/>
  <c r="AE158" i="5"/>
  <c r="AE152" i="5"/>
  <c r="AC48" i="5" l="1"/>
  <c r="AJ48" i="5" s="1"/>
  <c r="AF48" i="5" l="1"/>
  <c r="AE75" i="5" l="1"/>
  <c r="AE78" i="5"/>
  <c r="AE77" i="5"/>
  <c r="AE108" i="5"/>
  <c r="AE107" i="5"/>
  <c r="AE101" i="5"/>
  <c r="AE97" i="5"/>
  <c r="AE96" i="5"/>
  <c r="AE17" i="5" l="1"/>
  <c r="AE15" i="5"/>
  <c r="AE82" i="5"/>
  <c r="AE81" i="5"/>
  <c r="AI142" i="5"/>
  <c r="AE144" i="5"/>
  <c r="AE45" i="5"/>
  <c r="AE49" i="5"/>
  <c r="AE54" i="5"/>
  <c r="AE160" i="5"/>
  <c r="AE123" i="5"/>
  <c r="AE73" i="5"/>
  <c r="AC94" i="5" l="1"/>
  <c r="AF94" i="5" s="1"/>
  <c r="AJ94" i="5" l="1"/>
  <c r="AE12" i="5"/>
  <c r="AI148" i="5" l="1"/>
  <c r="AI36" i="5"/>
  <c r="AI12" i="5"/>
  <c r="AI89" i="5"/>
  <c r="AI38" i="5"/>
  <c r="AI37" i="5"/>
  <c r="AI74" i="5"/>
  <c r="AI68" i="5"/>
  <c r="AI67" i="5"/>
  <c r="AI50" i="5"/>
  <c r="AI51" i="5"/>
  <c r="AI141" i="5"/>
  <c r="AI88" i="5"/>
  <c r="AE35" i="5"/>
  <c r="AE32" i="5"/>
  <c r="AE28" i="5"/>
  <c r="AE27" i="5"/>
  <c r="AE133" i="5"/>
  <c r="AE169" i="5"/>
  <c r="AE131" i="5"/>
  <c r="AI25" i="5"/>
  <c r="AI82" i="5"/>
  <c r="AI81" i="5"/>
  <c r="AI181" i="5" s="1"/>
  <c r="AC31" i="5" l="1"/>
  <c r="AJ31" i="5" s="1"/>
  <c r="AF31" i="5" l="1"/>
  <c r="AM178" i="5"/>
  <c r="AM93" i="5"/>
  <c r="AI93" i="5"/>
  <c r="AI87" i="5"/>
  <c r="AE89" i="5"/>
  <c r="AE88" i="5"/>
  <c r="AE93" i="5"/>
  <c r="AE87" i="5"/>
  <c r="AI49" i="5" l="1"/>
  <c r="AI54" i="5"/>
  <c r="AE51" i="5"/>
  <c r="AE50" i="5"/>
  <c r="AB70" i="5" l="1"/>
  <c r="AC20" i="5"/>
  <c r="AJ20" i="5" l="1"/>
  <c r="AF20" i="5"/>
  <c r="AM162" i="5"/>
  <c r="AM141" i="5"/>
  <c r="AI162" i="5"/>
  <c r="AI183" i="5"/>
  <c r="AI139" i="5"/>
  <c r="AI149" i="5"/>
  <c r="AI144" i="5"/>
  <c r="AI146" i="5"/>
  <c r="AE148" i="5"/>
  <c r="AE162" i="5"/>
  <c r="AE149" i="5"/>
  <c r="AE139" i="5"/>
  <c r="AM183" i="5" l="1"/>
  <c r="AC55" i="5"/>
  <c r="AF55" i="5" s="1"/>
  <c r="AB53" i="5"/>
  <c r="AB51" i="5"/>
  <c r="AJ55" i="5" l="1"/>
  <c r="AE74" i="5"/>
  <c r="AE68" i="5" l="1"/>
  <c r="AE67" i="5"/>
  <c r="AE141" i="5"/>
  <c r="AE38" i="5" l="1"/>
  <c r="AE37" i="5"/>
  <c r="AE145" i="5" l="1"/>
  <c r="AI145" i="5"/>
  <c r="AC40" i="5" l="1"/>
  <c r="AF40" i="5" s="1"/>
  <c r="AJ40" i="5" l="1"/>
  <c r="AE25" i="5" l="1"/>
  <c r="AC16" i="5" l="1"/>
  <c r="AJ16" i="5" s="1"/>
  <c r="AF16" i="5" l="1"/>
  <c r="AC11" i="5" l="1"/>
  <c r="AF11" i="5" s="1"/>
  <c r="AJ11" i="5" l="1"/>
  <c r="AI8" i="5"/>
  <c r="AI7" i="5"/>
  <c r="AE114" i="5" l="1"/>
  <c r="AE146" i="5" l="1"/>
  <c r="AB141" i="5" l="1"/>
  <c r="AC140" i="5"/>
  <c r="AJ140" i="5" s="1"/>
  <c r="AF140" i="5" l="1"/>
  <c r="AI178" i="5" l="1"/>
  <c r="AE178" i="5" l="1"/>
  <c r="AM155" i="5" l="1"/>
  <c r="AM136" i="5"/>
  <c r="AE8" i="5" l="1"/>
  <c r="AE7" i="5"/>
  <c r="AE76" i="5" l="1"/>
  <c r="AE181" i="5" s="1"/>
  <c r="AE183" i="5" s="1"/>
  <c r="AE98" i="5"/>
  <c r="AE60" i="5"/>
  <c r="AE95" i="5"/>
  <c r="AC71" i="5" l="1"/>
  <c r="AJ71" i="5" l="1"/>
  <c r="AF71" i="5"/>
  <c r="AC179" i="5" l="1"/>
  <c r="AJ179" i="5" s="1"/>
  <c r="AB61" i="5"/>
  <c r="AF179" i="5" l="1"/>
  <c r="AM145" i="5" l="1"/>
  <c r="AI154" i="5"/>
  <c r="AB119" i="5" l="1"/>
  <c r="AB115" i="5"/>
  <c r="AM153" i="5" l="1"/>
  <c r="AC45" i="5" l="1"/>
  <c r="AJ45" i="5" s="1"/>
  <c r="AC52" i="5"/>
  <c r="AF45" i="5" l="1"/>
  <c r="AJ52" i="5"/>
  <c r="AF52" i="5"/>
  <c r="AC177" i="5" l="1"/>
  <c r="AF177" i="5" s="1"/>
  <c r="AC145" i="5" l="1"/>
  <c r="AF145" i="5" s="1"/>
  <c r="AJ145" i="5" l="1"/>
  <c r="P6" i="5" l="1"/>
  <c r="AC62" i="5" l="1"/>
  <c r="AJ62" i="5" l="1"/>
  <c r="AF62" i="5"/>
  <c r="P72" i="5"/>
  <c r="P87" i="5" l="1"/>
  <c r="AC178" i="5" l="1"/>
  <c r="AC176" i="5"/>
  <c r="AF176" i="5" s="1"/>
  <c r="AC175" i="5"/>
  <c r="AC174" i="5"/>
  <c r="AC171" i="5"/>
  <c r="AF171" i="5" s="1"/>
  <c r="AC170" i="5"/>
  <c r="AF170" i="5" s="1"/>
  <c r="AC169" i="5"/>
  <c r="AF169" i="5" s="1"/>
  <c r="AC168" i="5"/>
  <c r="AF168" i="5" s="1"/>
  <c r="AC167" i="5"/>
  <c r="AF167" i="5" s="1"/>
  <c r="AC166" i="5"/>
  <c r="AF166" i="5" s="1"/>
  <c r="AC165" i="5"/>
  <c r="AF165" i="5" s="1"/>
  <c r="AC164" i="5"/>
  <c r="AF164" i="5" s="1"/>
  <c r="AC163" i="5"/>
  <c r="AF163" i="5" s="1"/>
  <c r="AC162" i="5"/>
  <c r="AF162" i="5" s="1"/>
  <c r="AC161" i="5"/>
  <c r="AF161" i="5" s="1"/>
  <c r="AC160" i="5"/>
  <c r="AF160" i="5" s="1"/>
  <c r="AC159" i="5"/>
  <c r="AF159" i="5" s="1"/>
  <c r="AC158" i="5"/>
  <c r="AF158" i="5" s="1"/>
  <c r="AC157" i="5"/>
  <c r="AF157" i="5" s="1"/>
  <c r="AC156" i="5"/>
  <c r="AF156" i="5" s="1"/>
  <c r="AC155" i="5"/>
  <c r="AF155" i="5" s="1"/>
  <c r="AC154" i="5"/>
  <c r="AF154" i="5" s="1"/>
  <c r="AC153" i="5"/>
  <c r="AF153" i="5" s="1"/>
  <c r="AC152" i="5"/>
  <c r="AF152" i="5" s="1"/>
  <c r="AC151" i="5"/>
  <c r="AF151" i="5" s="1"/>
  <c r="AC150" i="5"/>
  <c r="AF150" i="5" s="1"/>
  <c r="AC146" i="5"/>
  <c r="AF146" i="5" s="1"/>
  <c r="AC142" i="5"/>
  <c r="AC136" i="5"/>
  <c r="AF136" i="5" s="1"/>
  <c r="AC135" i="5"/>
  <c r="AF135" i="5" s="1"/>
  <c r="AC134" i="5"/>
  <c r="AF134" i="5" s="1"/>
  <c r="AC133" i="5"/>
  <c r="AF133" i="5" s="1"/>
  <c r="AC132" i="5"/>
  <c r="AF132" i="5" s="1"/>
  <c r="AC131" i="5"/>
  <c r="AF131" i="5" s="1"/>
  <c r="AC130" i="5"/>
  <c r="AF130" i="5" s="1"/>
  <c r="AC129" i="5"/>
  <c r="AF129" i="5" s="1"/>
  <c r="AC128" i="5"/>
  <c r="AF128" i="5" s="1"/>
  <c r="AC127" i="5"/>
  <c r="AF127" i="5" s="1"/>
  <c r="AC126" i="5"/>
  <c r="AF126" i="5" s="1"/>
  <c r="AC124" i="5"/>
  <c r="AF124" i="5" s="1"/>
  <c r="AC123" i="5"/>
  <c r="AF123" i="5" s="1"/>
  <c r="AC122" i="5"/>
  <c r="AF122" i="5" s="1"/>
  <c r="AC121" i="5"/>
  <c r="AF121" i="5" s="1"/>
  <c r="AC120" i="5"/>
  <c r="AF120" i="5" s="1"/>
  <c r="AC119" i="5"/>
  <c r="AF119" i="5" s="1"/>
  <c r="AC118" i="5"/>
  <c r="AF118" i="5" s="1"/>
  <c r="AC117" i="5"/>
  <c r="AF117" i="5" s="1"/>
  <c r="AC116" i="5"/>
  <c r="AF116" i="5" s="1"/>
  <c r="AC115" i="5"/>
  <c r="AF115" i="5" s="1"/>
  <c r="AC114" i="5"/>
  <c r="AC112" i="5"/>
  <c r="AC111" i="5"/>
  <c r="AC110" i="5"/>
  <c r="AC109" i="5"/>
  <c r="AC108" i="5"/>
  <c r="AC106" i="5"/>
  <c r="AC104" i="5"/>
  <c r="AC103" i="5"/>
  <c r="AC102" i="5"/>
  <c r="AC100" i="5"/>
  <c r="AC99" i="5"/>
  <c r="AC98" i="5"/>
  <c r="AC95" i="5"/>
  <c r="AC92" i="5"/>
  <c r="AC91" i="5"/>
  <c r="AC90" i="5"/>
  <c r="AC87" i="5"/>
  <c r="AC85" i="5"/>
  <c r="AC84" i="5"/>
  <c r="AC83" i="5"/>
  <c r="AC82" i="5"/>
  <c r="AC81" i="5"/>
  <c r="AC80" i="5"/>
  <c r="AC78" i="5"/>
  <c r="AC77" i="5"/>
  <c r="AC75" i="5"/>
  <c r="AC73" i="5"/>
  <c r="AC72" i="5"/>
  <c r="AC66" i="5"/>
  <c r="AC65" i="5"/>
  <c r="AC64" i="5"/>
  <c r="AC63" i="5"/>
  <c r="AC61" i="5"/>
  <c r="AC60" i="5"/>
  <c r="AC59" i="5"/>
  <c r="AC58" i="5"/>
  <c r="AC54" i="5"/>
  <c r="AC47" i="5"/>
  <c r="AC46" i="5"/>
  <c r="AC44" i="5"/>
  <c r="AC43" i="5"/>
  <c r="AC42" i="5"/>
  <c r="AC41" i="5"/>
  <c r="AC34" i="5"/>
  <c r="AC30" i="5"/>
  <c r="AC26" i="5"/>
  <c r="AC25" i="5"/>
  <c r="AC24" i="5"/>
  <c r="AC18" i="5"/>
  <c r="AC17" i="5"/>
  <c r="AC15" i="5"/>
  <c r="AJ15" i="5" s="1"/>
  <c r="AC13" i="5"/>
  <c r="AC12" i="5"/>
  <c r="AC10" i="5"/>
  <c r="AF10" i="5" s="1"/>
  <c r="AC9" i="5"/>
  <c r="AC8" i="5"/>
  <c r="AC6" i="5"/>
  <c r="P173" i="5"/>
  <c r="AC173" i="5" s="1"/>
  <c r="AF173" i="5" s="1"/>
  <c r="P172" i="5"/>
  <c r="AC172" i="5" s="1"/>
  <c r="AF172" i="5" s="1"/>
  <c r="AC149" i="5"/>
  <c r="AF149" i="5" s="1"/>
  <c r="P148" i="5"/>
  <c r="AC148" i="5" s="1"/>
  <c r="AF148" i="5" s="1"/>
  <c r="P147" i="5"/>
  <c r="AC147" i="5" s="1"/>
  <c r="AF147" i="5" s="1"/>
  <c r="P144" i="5"/>
  <c r="P143" i="5"/>
  <c r="AC143" i="5" s="1"/>
  <c r="AF143" i="5" s="1"/>
  <c r="P141" i="5"/>
  <c r="AC141" i="5" s="1"/>
  <c r="AC139" i="5"/>
  <c r="AF139" i="5" s="1"/>
  <c r="AC138" i="5"/>
  <c r="AF138" i="5" s="1"/>
  <c r="P137" i="5"/>
  <c r="AC137" i="5" s="1"/>
  <c r="AF137" i="5" s="1"/>
  <c r="P125" i="5"/>
  <c r="P113" i="5"/>
  <c r="AC113" i="5" s="1"/>
  <c r="P107" i="5"/>
  <c r="AC107" i="5" s="1"/>
  <c r="P105" i="5"/>
  <c r="AC105" i="5" s="1"/>
  <c r="P101" i="5"/>
  <c r="AC101" i="5" s="1"/>
  <c r="P97" i="5"/>
  <c r="AC97" i="5" s="1"/>
  <c r="P96" i="5"/>
  <c r="AC96" i="5" s="1"/>
  <c r="P93" i="5"/>
  <c r="AC93" i="5" s="1"/>
  <c r="P89" i="5"/>
  <c r="AC89" i="5" s="1"/>
  <c r="P88" i="5"/>
  <c r="AC88" i="5" s="1"/>
  <c r="P86" i="5"/>
  <c r="AC86" i="5" s="1"/>
  <c r="P79" i="5"/>
  <c r="AC79" i="5" s="1"/>
  <c r="P76" i="5"/>
  <c r="AC76" i="5" s="1"/>
  <c r="P74" i="5"/>
  <c r="AC74" i="5" s="1"/>
  <c r="P70" i="5"/>
  <c r="AC70" i="5" s="1"/>
  <c r="P69" i="5"/>
  <c r="AC69" i="5" s="1"/>
  <c r="P68" i="5"/>
  <c r="AC68" i="5" s="1"/>
  <c r="P67" i="5"/>
  <c r="AC67" i="5" s="1"/>
  <c r="P57" i="5"/>
  <c r="AC57" i="5" s="1"/>
  <c r="P56" i="5"/>
  <c r="AC56" i="5" s="1"/>
  <c r="P53" i="5"/>
  <c r="AC53" i="5" s="1"/>
  <c r="P51" i="5"/>
  <c r="AC51" i="5" s="1"/>
  <c r="P50" i="5"/>
  <c r="AC50" i="5" s="1"/>
  <c r="P49" i="5"/>
  <c r="AC49" i="5" s="1"/>
  <c r="AJ49" i="5" s="1"/>
  <c r="P39" i="5"/>
  <c r="AC39" i="5" s="1"/>
  <c r="AJ39" i="5" s="1"/>
  <c r="P38" i="5"/>
  <c r="AC38" i="5" s="1"/>
  <c r="P37" i="5"/>
  <c r="AC37" i="5" s="1"/>
  <c r="P36" i="5"/>
  <c r="AC36" i="5" s="1"/>
  <c r="P35" i="5"/>
  <c r="AC35" i="5" s="1"/>
  <c r="P33" i="5"/>
  <c r="AC33" i="5" s="1"/>
  <c r="P32" i="5"/>
  <c r="AC32" i="5" s="1"/>
  <c r="P29" i="5"/>
  <c r="AC29" i="5" s="1"/>
  <c r="P28" i="5"/>
  <c r="AC28" i="5" s="1"/>
  <c r="P27" i="5"/>
  <c r="AC27" i="5" s="1"/>
  <c r="P23" i="5"/>
  <c r="AC23" i="5" s="1"/>
  <c r="P22" i="5"/>
  <c r="AC22" i="5" s="1"/>
  <c r="P21" i="5"/>
  <c r="AC21" i="5" s="1"/>
  <c r="P19" i="5"/>
  <c r="AC19" i="5" s="1"/>
  <c r="P14" i="5"/>
  <c r="AC14" i="5" s="1"/>
  <c r="P7" i="5"/>
  <c r="AC7" i="5" s="1"/>
  <c r="AF39" i="5" l="1"/>
  <c r="AF142" i="5"/>
  <c r="AJ142" i="5"/>
  <c r="AF141" i="5"/>
  <c r="AJ141" i="5"/>
  <c r="N2" i="5"/>
  <c r="AJ138" i="5"/>
  <c r="AF7" i="5"/>
  <c r="AJ7" i="5"/>
  <c r="AJ36" i="5"/>
  <c r="AF36" i="5"/>
  <c r="AJ56" i="5"/>
  <c r="AF56" i="5"/>
  <c r="AJ79" i="5"/>
  <c r="AF79" i="5"/>
  <c r="AJ137" i="5"/>
  <c r="AJ143" i="5"/>
  <c r="AJ149" i="5"/>
  <c r="AF8" i="5"/>
  <c r="AJ8" i="5"/>
  <c r="AJ13" i="5"/>
  <c r="AF13" i="5"/>
  <c r="AJ24" i="5"/>
  <c r="AF24" i="5"/>
  <c r="AJ34" i="5"/>
  <c r="AF34" i="5"/>
  <c r="AJ44" i="5"/>
  <c r="AF44" i="5"/>
  <c r="AJ58" i="5"/>
  <c r="AF58" i="5"/>
  <c r="AJ63" i="5"/>
  <c r="AF63" i="5"/>
  <c r="AF72" i="5"/>
  <c r="AJ72" i="5"/>
  <c r="AJ78" i="5"/>
  <c r="AF78" i="5"/>
  <c r="AJ83" i="5"/>
  <c r="AF83" i="5"/>
  <c r="AJ88" i="5"/>
  <c r="AF88" i="5"/>
  <c r="AJ95" i="5"/>
  <c r="AF95" i="5"/>
  <c r="AJ102" i="5"/>
  <c r="AF102" i="5"/>
  <c r="AJ108" i="5"/>
  <c r="AF108" i="5"/>
  <c r="AJ112" i="5"/>
  <c r="AF112" i="5"/>
  <c r="AJ117" i="5"/>
  <c r="AJ121" i="5"/>
  <c r="AJ126" i="5"/>
  <c r="AJ130" i="5"/>
  <c r="AJ134" i="5"/>
  <c r="AJ146" i="5"/>
  <c r="AJ153" i="5"/>
  <c r="AJ157" i="5"/>
  <c r="AJ161" i="5"/>
  <c r="AJ165" i="5"/>
  <c r="AJ169" i="5"/>
  <c r="AJ175" i="5"/>
  <c r="AF175" i="5"/>
  <c r="AJ14" i="5"/>
  <c r="AF14" i="5"/>
  <c r="AJ23" i="5"/>
  <c r="AF23" i="5"/>
  <c r="AJ32" i="5"/>
  <c r="AF32" i="5"/>
  <c r="AJ37" i="5"/>
  <c r="AF37" i="5"/>
  <c r="AJ50" i="5"/>
  <c r="AF50" i="5"/>
  <c r="AJ57" i="5"/>
  <c r="AF57" i="5"/>
  <c r="AJ70" i="5"/>
  <c r="AF70" i="5"/>
  <c r="AJ86" i="5"/>
  <c r="AF86" i="5"/>
  <c r="AJ96" i="5"/>
  <c r="AF96" i="5"/>
  <c r="AJ107" i="5"/>
  <c r="AF107" i="5"/>
  <c r="AJ172" i="5"/>
  <c r="AJ9" i="5"/>
  <c r="AF9" i="5"/>
  <c r="AF15" i="5"/>
  <c r="AJ25" i="5"/>
  <c r="AF25" i="5"/>
  <c r="AJ41" i="5"/>
  <c r="AF41" i="5"/>
  <c r="AF46" i="5"/>
  <c r="AJ46" i="5"/>
  <c r="AJ59" i="5"/>
  <c r="AF59" i="5"/>
  <c r="AJ64" i="5"/>
  <c r="AF64" i="5"/>
  <c r="AJ73" i="5"/>
  <c r="AF73" i="5"/>
  <c r="AJ80" i="5"/>
  <c r="AF80" i="5"/>
  <c r="AJ84" i="5"/>
  <c r="AF84" i="5"/>
  <c r="AJ90" i="5"/>
  <c r="AF90" i="5"/>
  <c r="AJ98" i="5"/>
  <c r="AF98" i="5"/>
  <c r="AJ103" i="5"/>
  <c r="AF103" i="5"/>
  <c r="AJ109" i="5"/>
  <c r="AF109" i="5"/>
  <c r="AJ114" i="5"/>
  <c r="AF114" i="5"/>
  <c r="AJ118" i="5"/>
  <c r="AJ122" i="5"/>
  <c r="AJ127" i="5"/>
  <c r="AJ131" i="5"/>
  <c r="AJ135" i="5"/>
  <c r="AJ150" i="5"/>
  <c r="AJ154" i="5"/>
  <c r="AJ158" i="5"/>
  <c r="AJ162" i="5"/>
  <c r="AJ166" i="5"/>
  <c r="AJ170" i="5"/>
  <c r="AJ176" i="5"/>
  <c r="AJ22" i="5"/>
  <c r="AF22" i="5"/>
  <c r="AF49" i="5"/>
  <c r="AJ105" i="5"/>
  <c r="AF105" i="5"/>
  <c r="AF27" i="5"/>
  <c r="AJ27" i="5"/>
  <c r="AJ38" i="5"/>
  <c r="AF38" i="5"/>
  <c r="AJ67" i="5"/>
  <c r="AF67" i="5"/>
  <c r="AJ97" i="5"/>
  <c r="AF97" i="5"/>
  <c r="AJ147" i="5"/>
  <c r="AF26" i="5"/>
  <c r="AJ26" i="5"/>
  <c r="AJ104" i="5"/>
  <c r="AF104" i="5"/>
  <c r="AJ29" i="5"/>
  <c r="AF29" i="5"/>
  <c r="AJ69" i="5"/>
  <c r="AF69" i="5"/>
  <c r="AJ93" i="5"/>
  <c r="AF93" i="5"/>
  <c r="AJ19" i="5"/>
  <c r="AF19" i="5"/>
  <c r="AJ33" i="5"/>
  <c r="AF33" i="5"/>
  <c r="AJ51" i="5"/>
  <c r="AF51" i="5"/>
  <c r="AJ74" i="5"/>
  <c r="AF74" i="5"/>
  <c r="AJ113" i="5"/>
  <c r="AF113" i="5"/>
  <c r="AJ139" i="5"/>
  <c r="AJ173" i="5"/>
  <c r="AJ10" i="5"/>
  <c r="AJ17" i="5"/>
  <c r="AF17" i="5"/>
  <c r="AJ42" i="5"/>
  <c r="AF42" i="5"/>
  <c r="AJ47" i="5"/>
  <c r="AF47" i="5"/>
  <c r="AJ60" i="5"/>
  <c r="AF60" i="5"/>
  <c r="AJ65" i="5"/>
  <c r="AF65" i="5"/>
  <c r="AJ75" i="5"/>
  <c r="AF75" i="5"/>
  <c r="AJ81" i="5"/>
  <c r="AF81" i="5"/>
  <c r="AJ85" i="5"/>
  <c r="AF85" i="5"/>
  <c r="AJ91" i="5"/>
  <c r="AF91" i="5"/>
  <c r="AJ99" i="5"/>
  <c r="AF99" i="5"/>
  <c r="AF110" i="5"/>
  <c r="AJ110" i="5"/>
  <c r="AJ115" i="5"/>
  <c r="AJ119" i="5"/>
  <c r="AJ123" i="5"/>
  <c r="AJ128" i="5"/>
  <c r="AJ132" i="5"/>
  <c r="AJ136" i="5"/>
  <c r="AJ151" i="5"/>
  <c r="AJ155" i="5"/>
  <c r="AJ159" i="5"/>
  <c r="AJ163" i="5"/>
  <c r="AJ167" i="5"/>
  <c r="AJ171" i="5"/>
  <c r="AJ177" i="5"/>
  <c r="AJ21" i="5"/>
  <c r="AF21" i="5"/>
  <c r="AJ28" i="5"/>
  <c r="AF28" i="5"/>
  <c r="AJ35" i="5"/>
  <c r="AF35" i="5"/>
  <c r="AJ53" i="5"/>
  <c r="AF53" i="5"/>
  <c r="AJ68" i="5"/>
  <c r="AF68" i="5"/>
  <c r="AJ76" i="5"/>
  <c r="AF76" i="5"/>
  <c r="AJ89" i="5"/>
  <c r="AF89" i="5"/>
  <c r="AJ101" i="5"/>
  <c r="AF101" i="5"/>
  <c r="AJ148" i="5"/>
  <c r="AJ6" i="5"/>
  <c r="AF6" i="5"/>
  <c r="AJ12" i="5"/>
  <c r="AF12" i="5"/>
  <c r="AJ18" i="5"/>
  <c r="AF18" i="5"/>
  <c r="AJ30" i="5"/>
  <c r="AF30" i="5"/>
  <c r="AJ43" i="5"/>
  <c r="AF43" i="5"/>
  <c r="AJ54" i="5"/>
  <c r="AF54" i="5"/>
  <c r="AJ61" i="5"/>
  <c r="AF61" i="5"/>
  <c r="AJ66" i="5"/>
  <c r="AF66" i="5"/>
  <c r="AJ77" i="5"/>
  <c r="AF77" i="5"/>
  <c r="AJ82" i="5"/>
  <c r="AF82" i="5"/>
  <c r="AJ87" i="5"/>
  <c r="AF87" i="5"/>
  <c r="AJ92" i="5"/>
  <c r="AF92" i="5"/>
  <c r="AJ100" i="5"/>
  <c r="AF100" i="5"/>
  <c r="AJ106" i="5"/>
  <c r="AF106" i="5"/>
  <c r="AJ111" i="5"/>
  <c r="AF111" i="5"/>
  <c r="AJ116" i="5"/>
  <c r="AJ120" i="5"/>
  <c r="AJ124" i="5"/>
  <c r="AJ129" i="5"/>
  <c r="AJ133" i="5"/>
  <c r="AJ152" i="5"/>
  <c r="AJ156" i="5"/>
  <c r="AJ160" i="5"/>
  <c r="AJ164" i="5"/>
  <c r="AJ168" i="5"/>
  <c r="AJ174" i="5"/>
  <c r="AF174" i="5"/>
  <c r="AJ178" i="5"/>
  <c r="AF178" i="5"/>
  <c r="AC144" i="5"/>
  <c r="AF144" i="5" s="1"/>
  <c r="AC125" i="5"/>
  <c r="AF125" i="5" s="1"/>
  <c r="K2" i="5"/>
  <c r="L2" i="5" s="1"/>
  <c r="G8" i="7"/>
  <c r="G9" i="7"/>
  <c r="G10" i="7"/>
  <c r="G11" i="7"/>
  <c r="G12" i="7"/>
  <c r="G13" i="7"/>
  <c r="G14" i="7"/>
  <c r="G7" i="7"/>
  <c r="F7" i="7"/>
  <c r="F8" i="7"/>
  <c r="F9" i="7"/>
  <c r="F10" i="7"/>
  <c r="F11" i="7"/>
  <c r="F12" i="7"/>
  <c r="F13" i="7"/>
  <c r="F14" i="7"/>
  <c r="K104" i="6"/>
  <c r="J104" i="6"/>
  <c r="I104" i="6"/>
  <c r="H104" i="6"/>
  <c r="L103" i="6"/>
  <c r="G103" i="6"/>
  <c r="L102" i="6"/>
  <c r="G102" i="6"/>
  <c r="L101" i="6"/>
  <c r="G101" i="6"/>
  <c r="L100" i="6"/>
  <c r="G100" i="6"/>
  <c r="L99" i="6"/>
  <c r="G99" i="6"/>
  <c r="L98" i="6"/>
  <c r="G98" i="6"/>
  <c r="L97" i="6"/>
  <c r="G97" i="6"/>
  <c r="L96" i="6"/>
  <c r="G96" i="6"/>
  <c r="L95" i="6"/>
  <c r="G95" i="6"/>
  <c r="L94" i="6"/>
  <c r="G94" i="6"/>
  <c r="L93" i="6"/>
  <c r="G93" i="6"/>
  <c r="L92" i="6"/>
  <c r="G92" i="6"/>
  <c r="L91" i="6"/>
  <c r="G91" i="6"/>
  <c r="L90" i="6"/>
  <c r="G90" i="6"/>
  <c r="L89" i="6"/>
  <c r="G89" i="6"/>
  <c r="L88" i="6"/>
  <c r="G88" i="6"/>
  <c r="L87" i="6"/>
  <c r="G87" i="6"/>
  <c r="L86" i="6"/>
  <c r="G86" i="6"/>
  <c r="L85" i="6"/>
  <c r="G85" i="6"/>
  <c r="G84" i="6"/>
  <c r="L83" i="6"/>
  <c r="G83" i="6"/>
  <c r="L82" i="6"/>
  <c r="G82" i="6"/>
  <c r="L81" i="6"/>
  <c r="G81" i="6"/>
  <c r="L80" i="6"/>
  <c r="G80" i="6"/>
  <c r="L79" i="6"/>
  <c r="G79" i="6"/>
  <c r="L78" i="6"/>
  <c r="G78" i="6"/>
  <c r="L77" i="6"/>
  <c r="G77" i="6"/>
  <c r="L76" i="6"/>
  <c r="G76" i="6"/>
  <c r="L75" i="6"/>
  <c r="G75" i="6"/>
  <c r="L74" i="6"/>
  <c r="G74" i="6"/>
  <c r="L73" i="6"/>
  <c r="G73" i="6"/>
  <c r="L72" i="6"/>
  <c r="G72" i="6"/>
  <c r="L71" i="6"/>
  <c r="G71" i="6"/>
  <c r="L70" i="6"/>
  <c r="G70" i="6"/>
  <c r="K69" i="6"/>
  <c r="J69" i="6"/>
  <c r="I69" i="6"/>
  <c r="H69" i="6"/>
  <c r="L68" i="6"/>
  <c r="G68" i="6"/>
  <c r="L67" i="6"/>
  <c r="G67" i="6"/>
  <c r="L66" i="6"/>
  <c r="G66" i="6"/>
  <c r="L65" i="6"/>
  <c r="G65" i="6"/>
  <c r="L64" i="6"/>
  <c r="G64" i="6"/>
  <c r="L63" i="6"/>
  <c r="G63" i="6"/>
  <c r="L62" i="6"/>
  <c r="G62" i="6"/>
  <c r="L61" i="6"/>
  <c r="G61" i="6"/>
  <c r="L60" i="6"/>
  <c r="G60" i="6"/>
  <c r="L59" i="6"/>
  <c r="G59" i="6"/>
  <c r="L58" i="6"/>
  <c r="G58" i="6"/>
  <c r="L57" i="6"/>
  <c r="G57" i="6"/>
  <c r="L56" i="6"/>
  <c r="G56" i="6"/>
  <c r="L55" i="6"/>
  <c r="G55" i="6"/>
  <c r="L54" i="6"/>
  <c r="G54" i="6"/>
  <c r="L53" i="6"/>
  <c r="G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G31" i="6"/>
  <c r="L30" i="6"/>
  <c r="G30" i="6"/>
  <c r="L29" i="6"/>
  <c r="G29" i="6"/>
  <c r="AF181" i="5" l="1"/>
  <c r="AF183" i="5" s="1"/>
  <c r="AJ181" i="5"/>
  <c r="AJ125" i="5"/>
  <c r="AJ144" i="5"/>
  <c r="L104" i="6"/>
  <c r="L69" i="6"/>
  <c r="G104" i="6"/>
  <c r="G69" i="6"/>
  <c r="O2" i="5" l="1"/>
  <c r="H27" i="6" l="1"/>
  <c r="I27" i="6"/>
  <c r="J27" i="6"/>
  <c r="K27" i="6"/>
  <c r="L26" i="6"/>
  <c r="G26" i="6"/>
  <c r="L25" i="6"/>
  <c r="G25" i="6"/>
  <c r="L24" i="6"/>
  <c r="G24" i="6"/>
  <c r="L23" i="6"/>
  <c r="G23" i="6"/>
  <c r="L22" i="6"/>
  <c r="G22" i="6"/>
  <c r="L21" i="6"/>
  <c r="G21" i="6"/>
  <c r="L20" i="6"/>
  <c r="G20" i="6"/>
  <c r="L19" i="6"/>
  <c r="G19" i="6"/>
  <c r="G17" i="6"/>
  <c r="G16" i="6"/>
  <c r="G15" i="6"/>
  <c r="G14" i="6"/>
  <c r="G13" i="6"/>
  <c r="G12" i="6"/>
  <c r="G11" i="6"/>
  <c r="G10" i="6"/>
  <c r="G9" i="6"/>
  <c r="G8" i="6"/>
  <c r="G7" i="6"/>
  <c r="G6" i="6"/>
  <c r="G5" i="6"/>
  <c r="G4" i="6"/>
  <c r="G3" i="6"/>
  <c r="G2" i="6"/>
  <c r="K18" i="6"/>
  <c r="J18" i="6"/>
  <c r="I18" i="6"/>
  <c r="H18" i="6"/>
  <c r="L17" i="6"/>
  <c r="L16" i="6"/>
  <c r="L15" i="6"/>
  <c r="L14" i="6"/>
  <c r="L13" i="6"/>
  <c r="L12" i="6"/>
  <c r="L11" i="6"/>
  <c r="L10" i="6"/>
  <c r="L9" i="6"/>
  <c r="L8" i="6"/>
  <c r="L7" i="6"/>
  <c r="L6" i="6"/>
  <c r="L5" i="6"/>
  <c r="L4" i="6"/>
  <c r="L3" i="6"/>
  <c r="L2" i="6"/>
  <c r="L27" i="6" l="1"/>
  <c r="G27" i="6"/>
  <c r="G18" i="6"/>
  <c r="L18" i="6"/>
  <c r="C2" i="5" l="1"/>
  <c r="D2" i="5" s="1"/>
  <c r="G2" i="5" l="1"/>
  <c r="H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Sara Paola Rivera Moreno</author>
    <author>USUARIO</author>
  </authors>
  <commentList>
    <comment ref="H5" authorId="0" shapeId="0" xr:uid="{00000000-0006-0000-0000-000001000000}">
      <text>
        <r>
          <rPr>
            <b/>
            <sz val="14"/>
            <color indexed="81"/>
            <rFont val="Tahoma"/>
            <family val="2"/>
          </rPr>
          <t>OAP: Por favor detalle los elementos a adquirir</t>
        </r>
        <r>
          <rPr>
            <sz val="14"/>
            <color indexed="81"/>
            <rFont val="Tahoma"/>
            <family val="2"/>
          </rPr>
          <t xml:space="preserve">
</t>
        </r>
      </text>
    </comment>
    <comment ref="K5" authorId="1" shapeId="0" xr:uid="{00000000-0006-0000-0000-000002000000}">
      <text>
        <r>
          <rPr>
            <b/>
            <sz val="9"/>
            <color indexed="81"/>
            <rFont val="Tahoma"/>
            <family val="2"/>
          </rPr>
          <t>OAP:</t>
        </r>
        <r>
          <rPr>
            <sz val="9"/>
            <color indexed="81"/>
            <rFont val="Tahoma"/>
            <family val="2"/>
          </rPr>
          <t xml:space="preserve">
Colocar solo el número del mes. Ej: noviembre - 11</t>
        </r>
      </text>
    </comment>
    <comment ref="X5" authorId="2" shapeId="0" xr:uid="{00000000-0006-0000-0000-000003000000}">
      <text>
        <r>
          <rPr>
            <b/>
            <sz val="14"/>
            <color indexed="81"/>
            <rFont val="Tahoma"/>
            <family val="2"/>
          </rPr>
          <t>OAP: Seleccione una opción de lo que se encuentra en la lista</t>
        </r>
        <r>
          <rPr>
            <sz val="9"/>
            <color indexed="81"/>
            <rFont val="Tahoma"/>
            <family val="2"/>
          </rPr>
          <t xml:space="preserve">
</t>
        </r>
      </text>
    </comment>
  </commentList>
</comments>
</file>

<file path=xl/sharedStrings.xml><?xml version="1.0" encoding="utf-8"?>
<sst xmlns="http://schemas.openxmlformats.org/spreadsheetml/2006/main" count="3946" uniqueCount="830">
  <si>
    <t>Producir y emitir contenidos radiales para promover la inclusión de las personas con discapacidad visual</t>
  </si>
  <si>
    <t>No aplica</t>
  </si>
  <si>
    <t>Código UNSPSC (En caso de varios códigos, deben ir separados por ;)</t>
  </si>
  <si>
    <t>Mes presentación de ofertas</t>
  </si>
  <si>
    <t>Duración estimada del contrato (Número de meses o días)</t>
  </si>
  <si>
    <t>Fuente de los recursos</t>
  </si>
  <si>
    <t>Nombre del jefe de la dependencia</t>
  </si>
  <si>
    <t xml:space="preserve">Teléfono del responsable </t>
  </si>
  <si>
    <t>Correo electrónico del jefe de la dependencia</t>
  </si>
  <si>
    <t>Tipo de objeto de Gasto</t>
  </si>
  <si>
    <t>Nombre del Supervisor</t>
  </si>
  <si>
    <t>Contratar servicio de salud ocupacional y laboral</t>
  </si>
  <si>
    <t>Contrato de prestación de servicios para fortalecer las capacidades, conocimientos y habilidades de los servidores públicos</t>
  </si>
  <si>
    <t>86101705;
86101810</t>
  </si>
  <si>
    <t>Servicios de Bienestar</t>
  </si>
  <si>
    <t xml:space="preserve">Elementos de protección personal </t>
  </si>
  <si>
    <t>Adquisición de los insumos para botiquines</t>
  </si>
  <si>
    <t>GG-03</t>
  </si>
  <si>
    <t>GG-09</t>
  </si>
  <si>
    <t>GG-10</t>
  </si>
  <si>
    <t xml:space="preserve">GG-11 </t>
  </si>
  <si>
    <t>GG-12</t>
  </si>
  <si>
    <t>Darío Montañez</t>
  </si>
  <si>
    <t>secretariageneral@inci.gov.co</t>
  </si>
  <si>
    <t>MÍnima Cuantía</t>
  </si>
  <si>
    <t>Contratación directa</t>
  </si>
  <si>
    <t>SERVICIO</t>
  </si>
  <si>
    <t>SUMINISTRO</t>
  </si>
  <si>
    <t>FP-02</t>
  </si>
  <si>
    <t>Contrato de prestación de servicios técnicos para la gestión documental</t>
  </si>
  <si>
    <t>Profesional especializado 2028 Grado 20 Gestión Humana</t>
  </si>
  <si>
    <t>Técnico Operativo 3132 Grado 15</t>
  </si>
  <si>
    <t>Gestión Humana</t>
  </si>
  <si>
    <t>Proceso Responsable</t>
  </si>
  <si>
    <t>CCP</t>
  </si>
  <si>
    <t>NOMBRE CATALOGO CUENTAS PRESUPUESTAL</t>
  </si>
  <si>
    <t>Descripción del concepto</t>
  </si>
  <si>
    <t>A-02-02-01-000-001</t>
  </si>
  <si>
    <t>PRODUCTOS DE LA AGRICULTURA Y LA HORTICULTURA</t>
  </si>
  <si>
    <t>GG-02</t>
  </si>
  <si>
    <t>Plantas aromáticas, bebestibles y especias</t>
  </si>
  <si>
    <t>Gladys Pardo</t>
  </si>
  <si>
    <t>A-02-02-01-002-003</t>
  </si>
  <si>
    <t>PRODUCTOS DE MOLINERÍA, ALMIDONES Y PRODUCTOS DERIVADOS DEL ALMIDÓN; OTROS PRODUCTOS ALIMENTICIOS</t>
  </si>
  <si>
    <t xml:space="preserve">Caja menor productos cafetería y restaurante </t>
  </si>
  <si>
    <t>No es contrato</t>
  </si>
  <si>
    <t>CAJA MENOR</t>
  </si>
  <si>
    <t>Azúcar</t>
  </si>
  <si>
    <t>Café</t>
  </si>
  <si>
    <t>A-02-02-01-003-002</t>
  </si>
  <si>
    <t>PASTA O PULPA, PAPEL Y PRODUCTOS DE PAPEL; IMPRESOS Y ARTÍCULOS RELACIONADOS</t>
  </si>
  <si>
    <t>GG-04</t>
  </si>
  <si>
    <t>Caja Menor  Papeleria, utiles escritorio y oficina</t>
  </si>
  <si>
    <t>N/A</t>
  </si>
  <si>
    <t xml:space="preserve">Adquisición de Papel bond oficina, cajas, carpetas </t>
  </si>
  <si>
    <t>14101501;
60121124;
14111507;
44122003;
44111515</t>
  </si>
  <si>
    <t>MATERIALES Y SUMINISTROS</t>
  </si>
  <si>
    <t>A-02-02-01-003-005</t>
  </si>
  <si>
    <t>OTROS PRODUCTOS QUÍMICOS; FIBRAS ARTIFICIALES (O FIBRAS INDUSTRIALES HECHAS POR EL HOMBRE)</t>
  </si>
  <si>
    <t>Toner impresoras</t>
  </si>
  <si>
    <t xml:space="preserve">A-02-02-01-003-006  </t>
  </si>
  <si>
    <t>PRODUCTOS DE CAUCHO Y PLÁSTICO</t>
  </si>
  <si>
    <t xml:space="preserve">Suministros de escritorio ( ganchos, esferos, lapices, cosedoras etc) </t>
  </si>
  <si>
    <t>44121702;
27112309;
42312009</t>
  </si>
  <si>
    <t>Papel higiénico, servilletas, toallas papel, vasos de cartón</t>
  </si>
  <si>
    <t>14111704;
14111705</t>
  </si>
  <si>
    <t>A-02-02-01-003-003</t>
  </si>
  <si>
    <t>PRODUCTOS DE HORNOS DE COQUE; PRODUCTOS DE REFINACIÓN DE PETRÓLEO Y COMBUSTIBLE NUCLEAR</t>
  </si>
  <si>
    <t>Diesel combustible vehiculo</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</si>
  <si>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</si>
  <si>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</si>
  <si>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</si>
  <si>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</si>
  <si>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</si>
  <si>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A-02-02-02-006-004</t>
  </si>
  <si>
    <t>SERVICIOS DE TRANSPORTE DE PASAJEROS</t>
  </si>
  <si>
    <t>GG-07</t>
  </si>
  <si>
    <t>Caja Menor - Transporte</t>
  </si>
  <si>
    <t>A-02-02-02-006-009</t>
  </si>
  <si>
    <t>SERVICIOS DE DISTRIBUCIÓN DE ELECTRICIDAD, GAS Y AGUA (POR CUENTA PROPIA)</t>
  </si>
  <si>
    <t>Servicio Público Energia</t>
  </si>
  <si>
    <t xml:space="preserve">Servicio Público Agua </t>
  </si>
  <si>
    <t>A-02-02-02-007-001</t>
  </si>
  <si>
    <t>SERVICIOS FINANCIEROS Y SERVICIOS CONEXOS</t>
  </si>
  <si>
    <t>GG-08</t>
  </si>
  <si>
    <t xml:space="preserve">SEGUROS </t>
  </si>
  <si>
    <t>Menor Cuantía</t>
  </si>
  <si>
    <t xml:space="preserve">SEGUROS VIGENCIA FUTURA </t>
  </si>
  <si>
    <t>A-02-02-02-008-002</t>
  </si>
  <si>
    <t>Caja menor, gastos judiciales</t>
  </si>
  <si>
    <t>A-02-02-02-008-003</t>
  </si>
  <si>
    <t>OTROS SERVICIOS PROFESIONALES, CIENTÍFICOS Y TÉCNICOS</t>
  </si>
  <si>
    <t>Prestación de servicios profesionales en actividades de análisis, verificación y depuración contable de la cuenta propiedad planta y equipo y en labores de registro, control y seguimiento en los procedimientos de almacén que correspondan al proceso Administrativo</t>
  </si>
  <si>
    <t>Prestación de servicios profesionales en actividades de análisis, registro, control y seguimiento en el procedimiento contable y en los afines dentro del proceso financiero del Instituto Nacional para Ciegos – INCI.</t>
  </si>
  <si>
    <t xml:space="preserve">Honorarios Consejo Directivo </t>
  </si>
  <si>
    <t>Prestación de servicios profesionales en actividades de análisis, registro, control y seguimiento en el procedimiento presupuestal y en los afines dentro del proceso financiero del Instituto Nacional para Ciegos – INCI.</t>
  </si>
  <si>
    <t>A-02-02-02-008-004</t>
  </si>
  <si>
    <t xml:space="preserve">Servicio teléfono y celular </t>
  </si>
  <si>
    <t>A-02-02-02-008-005</t>
  </si>
  <si>
    <t>SERVICIOS DE SOPORTE</t>
  </si>
  <si>
    <t xml:space="preserve">Servicio vigilancia </t>
  </si>
  <si>
    <t xml:space="preserve">Servicio vigilancia VIGENCIA FUTURA </t>
  </si>
  <si>
    <t>Servicios de aseo</t>
  </si>
  <si>
    <t xml:space="preserve">Servicios de aseo VIGENCIA FUTURA </t>
  </si>
  <si>
    <t>Servicios complementarios de aseo (Aspiradora, greca, estufa)</t>
  </si>
  <si>
    <t>A-02-02-02-008-007</t>
  </si>
  <si>
    <t>SERVICIOS DE MANTENIMIENTO, REPARACIÓN E INSTALACIÓN (EXCEPTO SERVICIOS DE CONSTRUCCIÓN)</t>
  </si>
  <si>
    <t>Prestar el servicio de mantenimiento preventivo y correctivo, incluida la mano de obra y bolsa de repuestos que requiera el vehículo de propiedad del Instituto Nacional para Ciegos</t>
  </si>
  <si>
    <t xml:space="preserve">72101506
</t>
  </si>
  <si>
    <t xml:space="preserve">
81141804</t>
  </si>
  <si>
    <t xml:space="preserve">Contratación de prestación de servicios para el mantenimiento, adquisicion e instalacion de los aires acondicionados </t>
  </si>
  <si>
    <t xml:space="preserve">Contratación servicio de mantenimiento recarga de extintores y prueba hidrostatica de mangueras gabinete contra incendios </t>
  </si>
  <si>
    <t>Caja Menor Mantenimiento de bienes muebles, inmuebles, equipos y enseres</t>
  </si>
  <si>
    <t>72102900</t>
  </si>
  <si>
    <t>Suministro de elementos de ferretería y construcción de acuerdo a las necesidades, para efectuar mantenimientos preventivos y correctivos en las instalaciones del Instituto Nacional para Ciegos – INCI- en la ciudad de Bogotá. </t>
  </si>
  <si>
    <t>27111729
31211502
23101510
31161502
39101605
31211904
31201505
27111728
27112125
47131705</t>
  </si>
  <si>
    <t>A-02-02-02-009-004</t>
  </si>
  <si>
    <t>SERVICIOS DE ALCANTARILLADO, RECOLECCIÓN, TRATAMIENTO Y DISPOSICIÓN DE DESECHOS Y OTROS SERVICIOS DE SANEAMIENTO AMBIENTAL</t>
  </si>
  <si>
    <t xml:space="preserve">Servicio Publico Aseo </t>
  </si>
  <si>
    <t>C-2203-0700-5-0-2203003-02</t>
  </si>
  <si>
    <t>MC-01</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</si>
  <si>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</si>
  <si>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C-2203-0700-5-0-2203018-02</t>
  </si>
  <si>
    <t>MC-02</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</si>
  <si>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</si>
  <si>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C-2203-0700-5-0-2203016-02</t>
  </si>
  <si>
    <t>MC-03</t>
  </si>
  <si>
    <t>Financiero</t>
  </si>
  <si>
    <t>Administrativo</t>
  </si>
  <si>
    <t>Producción Radial y Audiovisual</t>
  </si>
  <si>
    <t>Proyecto de inversión</t>
  </si>
  <si>
    <t>Grupo Responsable</t>
  </si>
  <si>
    <t>Meta</t>
  </si>
  <si>
    <t>Modalidad de selección</t>
  </si>
  <si>
    <t>¿Se requieren vigencias futuras?</t>
  </si>
  <si>
    <t>Estado de solicitud de vigencias futuras</t>
  </si>
  <si>
    <t>Unidad de contratación</t>
  </si>
  <si>
    <t>Ubicación</t>
  </si>
  <si>
    <t>Valor estimado en la vigencia actual (Valor Inicial)</t>
  </si>
  <si>
    <t xml:space="preserve">Crear </t>
  </si>
  <si>
    <t>Aumentar</t>
  </si>
  <si>
    <t>Reducir</t>
  </si>
  <si>
    <t>juridica@inci.gov.co</t>
  </si>
  <si>
    <t>Ricardo Hernández</t>
  </si>
  <si>
    <t>planeacion@inci.gov.co</t>
  </si>
  <si>
    <t>Carlos Supanteve</t>
  </si>
  <si>
    <t xml:space="preserve">Contratación de prestación de servicio para soporte y mantenimiento de la página web, el aplicativo de asistencia técnica </t>
  </si>
  <si>
    <t>Servicio de Streaming para la Emisora Virtual INCI Radio, del Instituto Nacional para Ciegos</t>
  </si>
  <si>
    <t xml:space="preserve"> Adquisición de licenciamiento microsoft office 365 para los equipos de cómputo del INCI </t>
  </si>
  <si>
    <t>Selección abreviada- Acuedo Marco</t>
  </si>
  <si>
    <t>LICENCIA</t>
  </si>
  <si>
    <t xml:space="preserve"> Adquisición Licenciamiento Suite Adobe </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</si>
  <si>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</si>
  <si>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</si>
  <si>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 xml:space="preserve"> LICENCIA </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</si>
  <si>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</si>
  <si>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</si>
  <si>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</si>
  <si>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</si>
  <si>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</si>
  <si>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</si>
  <si>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</si>
  <si>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</si>
  <si>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Informática y tecnología</t>
  </si>
  <si>
    <t>Gestión  Documental</t>
  </si>
  <si>
    <t>Prestación de servicios profesionales en la oficina Asesora de Control Interno del Instituto Nacional para Ciegos – INCI, para apoyar la ejecución y monitoreo del Plan de Auditorías para la vigencia 2023</t>
  </si>
  <si>
    <t>Maria Helena Ordoñez</t>
  </si>
  <si>
    <t>controlinterno@inci.gov.co</t>
  </si>
  <si>
    <t>Contratación de servicios tecnológicos de apoyo para el soporte y mantenimiento de la infraestructura tecnológica</t>
  </si>
  <si>
    <t>Contratación de prestación de servicios para el Mantenimiento correctivo y preventivo (Incluida bolsa de repuestos, baterías y demás elementos que se requieran) de los equipos de escritorio (torre), equipos All in One (todo en uno), equipos portátiles, servidores y UPS (uninterruptible power supply) del Instituto Nacional para Ciegos – INCI.</t>
  </si>
  <si>
    <t>81112201
81112307</t>
  </si>
  <si>
    <t>Contratación mantenimiento correctivo y preventivo de Impresoras, scanner y otros dispositivos de informática y adquisición de bolsa de repuestos para impresoras, scanner y otros dispositivos de informática</t>
  </si>
  <si>
    <t>81112306; 
44103125</t>
  </si>
  <si>
    <t>Servicio de Internet Canal Principal</t>
  </si>
  <si>
    <t>Servicio de Internet Canal Principal 
Vigencia Futura</t>
  </si>
  <si>
    <t>Prestar sus servicios de tecnólogo en gestión documental, apoyando la ejecución de las diferentes actividades y compromisos establecidos para el proceso de gestión documental durante la vigencia 2023 en el Instituto Nacional para Ciegos – INCI.</t>
  </si>
  <si>
    <t>Ricardo Hernadez Mateus</t>
  </si>
  <si>
    <t>desarrollohumano@inci.gov.co</t>
  </si>
  <si>
    <t>CONTRATO PRESTACIÓN SERVICIOS (Técnico)</t>
  </si>
  <si>
    <t>Prestar sus servicios de tecnólogo en gestión documental, apoyando la gestión del sistema de gestion documental ORFEO y la elaboración y  ejecución de los planes, actividades y compromisos establecidos para el proceso de gestión documental durante la vigencia 2023 en el Instituto Nacional para Ciegos – INCI.</t>
  </si>
  <si>
    <t>Prestación de servicios profesionales para el desarrollo  de actividades y compromisos del proceso de Gestión Documental durante la vigencia 2023 en el Instituto Nacional para Ciegos – INCI.</t>
  </si>
  <si>
    <t>Minima Cuantía</t>
  </si>
  <si>
    <t xml:space="preserve">Contrato de prestación de servicios para apoyo administrativo del proceso Gestión Humana </t>
  </si>
  <si>
    <t>FP-01</t>
  </si>
  <si>
    <t>Mantenimiento Infraestructura</t>
  </si>
  <si>
    <t>Jenny Malaver</t>
  </si>
  <si>
    <t>Direccionamiento Estratégico</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</si>
  <si>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</si>
  <si>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</si>
  <si>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Pedro Andrade</t>
  </si>
  <si>
    <t>subdireccion@inci.gov.co</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</si>
  <si>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</si>
  <si>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</si>
  <si>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Administrativo y Financiero</t>
  </si>
  <si>
    <t>Mejorar los espacios físicos y accesibilidad de la entidad</t>
  </si>
  <si>
    <t>Gestión Jurídica</t>
  </si>
  <si>
    <t>Oficina asesora Jurídica</t>
  </si>
  <si>
    <t>Evaluación y Mejoramiento Institucional</t>
  </si>
  <si>
    <t>Gestión Humana y de la información</t>
  </si>
  <si>
    <t xml:space="preserve">Mantenimiento Correctivo y preventivo de la puerta del parqueadero y la puerta principal </t>
  </si>
  <si>
    <t>Oficina asesora de Planeación</t>
  </si>
  <si>
    <t>Renovación del licenciamiento del Software del Sistema Integrado de Gestión y Acompañamiento en la parametrización del Software del Sistema Integrado de Gestión</t>
  </si>
  <si>
    <t>81112210;
81112200</t>
  </si>
  <si>
    <t>SOFTWARE</t>
  </si>
  <si>
    <t xml:space="preserve">
11</t>
  </si>
  <si>
    <t>45 dìas</t>
  </si>
  <si>
    <t>Duración estimada del contrato (intervalo: días, meses, años)</t>
  </si>
  <si>
    <t>TR-01</t>
  </si>
  <si>
    <t>Aportes al fondo de contingencias</t>
  </si>
  <si>
    <t>TR-02</t>
  </si>
  <si>
    <t>Sentencias y Conciliaciones</t>
  </si>
  <si>
    <t>TR-03</t>
  </si>
  <si>
    <t>IMPUESTO SOBRE VEHICULOS AUTOMOTORES</t>
  </si>
  <si>
    <t>TR-04</t>
  </si>
  <si>
    <t>CUOTA DE FISCALIZACIÓN Y AUDITAJE</t>
  </si>
  <si>
    <t>TR-05</t>
  </si>
  <si>
    <t xml:space="preserve">IMPUESTO PREDIAL </t>
  </si>
  <si>
    <t>FONDO DE CONTINGENCIAS</t>
  </si>
  <si>
    <t>SENTENCIAS</t>
  </si>
  <si>
    <t>IMPUESTO VEHÍCULOS</t>
  </si>
  <si>
    <t>IMPUESTO PREDIAL</t>
  </si>
  <si>
    <t>Diego Sáchez</t>
  </si>
  <si>
    <t xml:space="preserve">Unidades Productivas
</t>
  </si>
  <si>
    <t>Promover la adquisición de productos especializados para las personas con discapacidad visual</t>
  </si>
  <si>
    <t xml:space="preserve">Producir libros, textos y material en tinta, macrotipo, sistema braille y relieve para las personas con discapacidad visual </t>
  </si>
  <si>
    <t>Adquisición de productos especializados para personas ciegas y con baja visión para comercializar en La Tienda INCI</t>
  </si>
  <si>
    <t>42211700;
42211702;
44101800;
44101802;
44101803</t>
  </si>
  <si>
    <t>Contratación de la actualización y modernización del mobiliario de La Tienda INCI, en términos de aseguramiento de la custodia segura y correcta de los elementos que se comercializan a la población con discapacidad visual.</t>
  </si>
  <si>
    <t>Servicio de mantenimiento correctivo y preventivo de las máquinas impresoras RICOH.</t>
  </si>
  <si>
    <t>73152101;
73152102;
73152103; 
81101707</t>
  </si>
  <si>
    <t>Servicio de mantenimiento correctivo y preventivo de las máquinas impresoras Braille Index  y Braille Box</t>
  </si>
  <si>
    <t xml:space="preserve">Prestar  servicios de apoyo a la gestión para realizar labores operativas en el área de acabados y revisión de calidad braille de los productos elaborados en la imprenta Nacional para Ciegos. </t>
  </si>
  <si>
    <t xml:space="preserve">Prestar  servicios de apoyo a la gestión para realizar labores operativas y de impresión en la máquina impresora Pinza Heildelberg, y corte en la guillotina grufcut de la imprenta Nacional para Ciegos. </t>
  </si>
  <si>
    <t>Prestación de servicios de apoyo a la gestión para realizar actividades relacionadas con la impresión en tinta braille y finalizado de productos en la imprenta Nacional para Ciegos.</t>
  </si>
  <si>
    <t>Prestar servicios de apoyo a la gestión en actividades de diseño, transcripción e impresión en sistema tinta braille en el proceso productivo de la Imprenta Nacional para Ciegos.</t>
  </si>
  <si>
    <t>Contratación de prestación de servicios de apoyo a la gestión de 10 personas  para la producción de tarjetones electorales accesibles elaborados en la Imprenta Nacional para Ciegos para el proceso de elecciones locales 2023</t>
  </si>
  <si>
    <t>Prestar servicios de apoyo a la gestión para adelantar la revisión de calidad de escritura del sistema braille para la producción de las tarjetas electorales.</t>
  </si>
  <si>
    <t>43231602;
43231508;
43231511;
43231512;
43231514;
43231506;
43231507</t>
  </si>
  <si>
    <t>Daniel Herrera</t>
  </si>
  <si>
    <t>Adquisición de papel para la producción de la Imprenta Nacional para Ciegos del INCI.</t>
  </si>
  <si>
    <t>Adquisición de insumos varios para la Imprenta Nacional para Ciegos del INCI. (Anillos, acrílicos, cajas, tintas, planchas litográficas u otros)</t>
  </si>
  <si>
    <t>Prestación de servicios para gestión y manejo integral de Residuos Peligrosos y/o Especiales generados por el INCI, que incluya la recolección, transporte, aprovechamiento, recuperación, tratamiento, y/o disposición final adecuada, con el respectivo certificado de disposición final, dando cumplimiento con lo señalado en la normativa ambiental vigente.</t>
  </si>
  <si>
    <t>11141608; 76121501; 76122314; 76122305; 76122304; 76121904; 76122203</t>
  </si>
  <si>
    <t>Adquisición de códigos ISBN para la codificación de libros y obras elaborados e impresos en el INCI</t>
  </si>
  <si>
    <t xml:space="preserve">Brindar asistencia técnica en educación a las entidades territoriales para el fortalecimiento de los procesos de atención para las personas con discapacidad visual </t>
  </si>
  <si>
    <t xml:space="preserve">Fecha estimada de inicio de proceso de selección </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</si>
  <si>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</si>
  <si>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</si>
  <si>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</si>
  <si>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</si>
  <si>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</si>
  <si>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 xml:space="preserve">Tiquetes terrestres para el desplazamiento de los servidores públicos del INCI para el ejercicio de sus funciones </t>
  </si>
  <si>
    <t>Prestación de servicios profesionales en la gestión interinstitucional para brindar asistencia técnica y acompañamiento a las entidades en actividades relacionadas con la empleabilidad de personas con discapacidad visual.</t>
  </si>
  <si>
    <t xml:space="preserve">Asistencia Técnica
</t>
  </si>
  <si>
    <t xml:space="preserve">Grupo Educación
</t>
  </si>
  <si>
    <t>Grupo Accesibilidad</t>
  </si>
  <si>
    <t xml:space="preserve"> Grupo Gestión Interinstitucional</t>
  </si>
  <si>
    <t xml:space="preserve"> Comunicaciones</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</si>
  <si>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</si>
  <si>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</si>
  <si>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</si>
  <si>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Brindar asistencia técnica a entidades públicas y privadas en temas de acceso a la información para personas con discapacidad visual</t>
  </si>
  <si>
    <t>Brindar asistencia técnica a entidades públicas y privadas en temas de accesibilidad del espacio físico.</t>
  </si>
  <si>
    <t xml:space="preserve">Brindar asistencia tecnica a entidades publicas y privadas para promover la inclusion laboral de las personas con discapacidad visual   </t>
  </si>
  <si>
    <t>Asesorar propuestas y proyectos de investigación en el tema de discapacidad visual</t>
  </si>
  <si>
    <t xml:space="preserve">Desarrollar acciones que contribuyan el ejercicio de los derechos de las personas con discapacidad visual 
</t>
  </si>
  <si>
    <t>Gloria Peña</t>
  </si>
  <si>
    <t>VIATICOS</t>
  </si>
  <si>
    <t>TIQUETE AEREO</t>
  </si>
  <si>
    <t>TIQUETE TERRESTRE</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</si>
  <si>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</si>
  <si>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</si>
  <si>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Contratación de servicios profesionales de un web master para la administración de los portales y canales digitales del INCI</t>
  </si>
  <si>
    <t>Contratación de servicios profesionales de un diseñador gráfico para la elaboración de piezas y contenidos institucionales.</t>
  </si>
  <si>
    <t>Prestar servicios profesionales como asistente de comunicaciones para la generación de contenidos de los diferentes canales de información del INCI.gov.co, INCIdigital, INCIRadio y redes.</t>
  </si>
  <si>
    <t>Carlos Parra</t>
  </si>
  <si>
    <t>direccioninci@inci.gov.co</t>
  </si>
  <si>
    <t>Paola Mejía</t>
  </si>
  <si>
    <t>Prestación de servicios profesionales en asistencia técnica para fortalecer la participación ciudadana de la población con discapacidad visual.</t>
  </si>
  <si>
    <t>Prestación de servicios profesionales para la Administración de la Biblioteca Virtual para Ciegos de Colombia y vigilancia del funcionamiento de la plataforma Dspace que la soporta</t>
  </si>
  <si>
    <t>Actualización, Funcionamiento, Soporte y Mantenimiento de la plataforma D-Space de la Biblioteca vitual para ciegos</t>
  </si>
  <si>
    <t>81112210
81112200</t>
  </si>
  <si>
    <t>Mínima Cuantía</t>
  </si>
  <si>
    <t>Departamento</t>
  </si>
  <si>
    <t>Municipio</t>
  </si>
  <si>
    <t>Nombre Servidor público</t>
  </si>
  <si>
    <t># días</t>
  </si>
  <si>
    <t>SUBTOTAL Viaticos</t>
  </si>
  <si>
    <t>Tiquete Aereo</t>
  </si>
  <si>
    <t>Tiquete Terrestre</t>
  </si>
  <si>
    <t>Valor Viáticos dìa</t>
  </si>
  <si>
    <t>TAXIS AEROPUERTO BOGOTA</t>
  </si>
  <si>
    <t>TAXI AEROPUERTO CIUDADES</t>
  </si>
  <si>
    <t>VALOR TOTAL TRANSPORTE TERRESTRE</t>
  </si>
  <si>
    <t>COMISIONES DE SERVICIO EN EL INTERIOR DEL PAÍS</t>
  </si>
  <si>
    <t>SALARIO</t>
  </si>
  <si>
    <t>VIÁTICOS DIARIOS EN PESOS</t>
  </si>
  <si>
    <t>PROYECCIÓN VIÁTICOS 2023 (POSIBLE INCREMENTO 10%)</t>
  </si>
  <si>
    <t>De</t>
  </si>
  <si>
    <t>a</t>
  </si>
  <si>
    <t>Floridablanca</t>
  </si>
  <si>
    <t>Edwin Beltrán Chamorro</t>
  </si>
  <si>
    <t>Darío Montñez</t>
  </si>
  <si>
    <t>María del Rosario Yepes</t>
  </si>
  <si>
    <t>PROYECTO</t>
  </si>
  <si>
    <t>TOPE</t>
  </si>
  <si>
    <t>DIFERENCIA</t>
  </si>
  <si>
    <t>ADQUISICIÓN DE BIENES Y SERVICIOS</t>
  </si>
  <si>
    <t>TOTAL</t>
  </si>
  <si>
    <t>Rubro 02</t>
  </si>
  <si>
    <t>TRANSFERENCIAS TOPE</t>
  </si>
  <si>
    <t>TOPE TOTAL</t>
  </si>
  <si>
    <t>TOTAL ACTUAL</t>
  </si>
  <si>
    <t>Producir y/o adaptar productos o recursos en formatos accesibles para el acceso a la informaciòn y al conocimiento de las personas con discapacidad visual</t>
  </si>
  <si>
    <t>Servicio de promoción y divulgación de los derechos de las personas con discapacidad</t>
  </si>
  <si>
    <t>A-02-02-01-002-008</t>
  </si>
  <si>
    <t>SERVICIOS DE TELECOMUNICACIONES, TRANSMISIÓN Y SUMINISTRO DE INFORMACIÓN</t>
  </si>
  <si>
    <t>DOTACIÓN (PRENDAS DE VESTIR Y CALZADO)</t>
  </si>
  <si>
    <t>SERVICIOS JURÍDICOS Y CONTABLES</t>
  </si>
  <si>
    <t>SERVICIOS DE MANTENIMIENTO Y REPARACIÓN DE COMPUTADORES Y EQUIPO PERIFÉRICO.</t>
  </si>
  <si>
    <t>SERVICIOS DE TELEFONÍA Y OTRAS TELECOMUNICACIONES</t>
  </si>
  <si>
    <t>OTROS SERVICIOS DE ESPARCIMIENTO Y DIVERSIÓN</t>
  </si>
  <si>
    <t>A-03-10-01-001</t>
  </si>
  <si>
    <t>SENTENCIAS Y CONCILIACIONES</t>
  </si>
  <si>
    <t>A-08-04-01</t>
  </si>
  <si>
    <t>A-08-01-02-001</t>
  </si>
  <si>
    <t>IMPUESTO PREDIAL Y SOBRETASA AMBIENTAL</t>
  </si>
  <si>
    <t>B-10-04-01</t>
  </si>
  <si>
    <t>A-02-02-01-002-007</t>
  </si>
  <si>
    <t xml:space="preserve">NACIÓN </t>
  </si>
  <si>
    <t>NACIÓN</t>
  </si>
  <si>
    <t>Gestión contractual</t>
  </si>
  <si>
    <t>Bogotá, D.C.</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</si>
  <si>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</si>
  <si>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C-2299-0700-3-0-2299060-02</t>
  </si>
  <si>
    <t>C-2299-0700-3-0-2299011-02</t>
  </si>
  <si>
    <t>Diego Sánchez</t>
  </si>
  <si>
    <t>Desarrollar campañas de comunicación para posicionar el INCI como entidad referente en la tematica de discapacidad visual</t>
  </si>
  <si>
    <t>Servicio de asistencia técnica en educación con enfoque incluyente y de calidad</t>
  </si>
  <si>
    <t>SERVICIO DE IMPLEMENTACIÓN SISTEMAS DE GESTIÓN</t>
  </si>
  <si>
    <t>SEDES ADECUADAS</t>
  </si>
  <si>
    <t xml:space="preserve">Servicio de producción de contenidos y ajustes razonables para promover y garantizar el acceso a la información y la comunicación de personas discapacitadas </t>
  </si>
  <si>
    <t>Producir y publicar contenidos audiovisuales para promover la inclusión de las personas con discapacidad visual</t>
  </si>
  <si>
    <t xml:space="preserve">Brindar asesoria a organizaciones sociales y personas con discapacidad visual para la participación y el ejercicio de sus derechos </t>
  </si>
  <si>
    <t>Dotar con material en tinta, braile, relieve o recursos educativos digitales accesibles a entidades publicas y/o privadas para apoyar los servicios que estas entidades ofrecen a las personas con discapacidad visual</t>
  </si>
  <si>
    <t xml:space="preserve">Antioquia </t>
  </si>
  <si>
    <t>Medellín</t>
  </si>
  <si>
    <t>Marcela Valbuena</t>
  </si>
  <si>
    <t>Antioquia</t>
  </si>
  <si>
    <t>Itagui</t>
  </si>
  <si>
    <t>Enviagado</t>
  </si>
  <si>
    <t>Bello</t>
  </si>
  <si>
    <t xml:space="preserve">Cauca </t>
  </si>
  <si>
    <t>Popayán</t>
  </si>
  <si>
    <t>Cauca</t>
  </si>
  <si>
    <t>Cajibío</t>
  </si>
  <si>
    <t>Santander de Quilichao</t>
  </si>
  <si>
    <t xml:space="preserve">Caldas </t>
  </si>
  <si>
    <t>Manizales</t>
  </si>
  <si>
    <t xml:space="preserve">Cundinamarca </t>
  </si>
  <si>
    <t>Soacha</t>
  </si>
  <si>
    <t>Cundinamarca</t>
  </si>
  <si>
    <t>Funza</t>
  </si>
  <si>
    <t>Mosquera</t>
  </si>
  <si>
    <t xml:space="preserve">Quindio </t>
  </si>
  <si>
    <t>Armenia</t>
  </si>
  <si>
    <t>Quindio</t>
  </si>
  <si>
    <t>Otro municipio</t>
  </si>
  <si>
    <t xml:space="preserve">Santander </t>
  </si>
  <si>
    <t>Bucaramanga</t>
  </si>
  <si>
    <t>Santander</t>
  </si>
  <si>
    <t>Pie de cuesta</t>
  </si>
  <si>
    <t xml:space="preserve">Valle </t>
  </si>
  <si>
    <t>Cali</t>
  </si>
  <si>
    <t>Valle</t>
  </si>
  <si>
    <t xml:space="preserve">Quindío </t>
  </si>
  <si>
    <t>Casanare</t>
  </si>
  <si>
    <t>Yopal</t>
  </si>
  <si>
    <t>Aguazul</t>
  </si>
  <si>
    <t>Monterey</t>
  </si>
  <si>
    <t>Villanueva</t>
  </si>
  <si>
    <t>Putumayo</t>
  </si>
  <si>
    <t>Puerto Asis</t>
  </si>
  <si>
    <t>Mocoa</t>
  </si>
  <si>
    <t>Atlántico</t>
  </si>
  <si>
    <t>Barranquilla</t>
  </si>
  <si>
    <t>Cesar</t>
  </si>
  <si>
    <t>Valledupar</t>
  </si>
  <si>
    <t xml:space="preserve">Vaupes </t>
  </si>
  <si>
    <t>Mitú</t>
  </si>
  <si>
    <t>Popayan</t>
  </si>
  <si>
    <t>Esperanza Verdugo</t>
  </si>
  <si>
    <t>Patricia Montoya</t>
  </si>
  <si>
    <t>Miriam Herrera</t>
  </si>
  <si>
    <t>La Guajira</t>
  </si>
  <si>
    <t>Riohacha</t>
  </si>
  <si>
    <t>Maicao</t>
  </si>
  <si>
    <t>Hermes Cely</t>
  </si>
  <si>
    <t>Vaupes</t>
  </si>
  <si>
    <t xml:space="preserve">Cesar </t>
  </si>
  <si>
    <t>Certificación ascensor y puerta levadiza</t>
  </si>
  <si>
    <t>Prestar servicios profesionales en la Oficina Asesora Juridica del INCI, como abogada para la gestión y trámite del proceso contractual de la entidad</t>
  </si>
  <si>
    <t>Brindar asistencia técnica para  el mejoramiento de los procesos de atención integral de los niños y niñas con discapacidad visual en primera Infancia</t>
  </si>
  <si>
    <t>Realizar talleres especializados en temas relacionados con la discapacidad visual</t>
  </si>
  <si>
    <t xml:space="preserve">Prestar servicios profesionales  para la gestión, apoyo y trámite de los procesos contractuales del área misional de la entidad </t>
  </si>
  <si>
    <t>PROPIOS 20</t>
  </si>
  <si>
    <t>PROPIOS 21</t>
  </si>
  <si>
    <t>Juan Esteban Gómez</t>
  </si>
  <si>
    <t>Mejorar los espacios físicos y accesibilidad de la entidad.</t>
  </si>
  <si>
    <t>Mejorar los espacios físicos y accesibilidad de la entidad..</t>
  </si>
  <si>
    <t xml:space="preserve">Valor del contrato
2023 </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</si>
  <si>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</si>
  <si>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</si>
  <si>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</si>
  <si>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</si>
  <si>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</si>
  <si>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</si>
  <si>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</si>
  <si>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</si>
  <si>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</si>
  <si>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</si>
  <si>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</si>
  <si>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345 dìas</t>
  </si>
  <si>
    <t>345 días</t>
  </si>
  <si>
    <t>315 días</t>
  </si>
  <si>
    <t>30241500
30191800</t>
  </si>
  <si>
    <t>Centro Cultural</t>
  </si>
  <si>
    <t>Prestación de servicios profesionales para promover la inclusión social de las personas con discapacidad visual</t>
  </si>
  <si>
    <t>Contratación de servicios profesionales  para la administración de la plataforma tecnológica de la biblioteca y aplicaciones del área misional</t>
  </si>
  <si>
    <t>Prestar servicios profesionales para avanzar en la implementación de la política de gestión jurídica del Modelo Integrado de Planeación y Gestión</t>
  </si>
  <si>
    <t>Optimizar la Gestión Documental Institucional de la entidad</t>
  </si>
  <si>
    <t>Fortalecer la implementación de la dimension de Talento Humano de la entidad.</t>
  </si>
  <si>
    <t>Fortalecer la implementación del Modelo Integrado de planeacion y gestión</t>
  </si>
  <si>
    <t>Consolidar las politicas de gobierno digital y seguridad digital</t>
  </si>
  <si>
    <t xml:space="preserve">Por definir </t>
  </si>
  <si>
    <t>001-2023</t>
  </si>
  <si>
    <t>GRUPO EDS AUTOGAS S.A.S</t>
  </si>
  <si>
    <t>PLAN ANUAL DE ADQUISICIONES AÑO 2023</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</si>
  <si>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
Se cambia por: 
Prestar servicios de apoyo a la gestión en las actividades documentales de los procesos contractual, gestión jurídica, gestión documental y gestión humana del INCI.</t>
  </si>
  <si>
    <t>2
Se cambia a 1</t>
  </si>
  <si>
    <t>7
Se cambia a 11</t>
  </si>
  <si>
    <t>Circular No 1</t>
  </si>
  <si>
    <t>CAJA DE COMPENSACIÓN FAMILIAR CAFAM</t>
  </si>
  <si>
    <t>0
Se modifica a 1</t>
  </si>
  <si>
    <t>Gestión Contractual</t>
  </si>
  <si>
    <t>RAQUEL LUCIA CEPEDA</t>
  </si>
  <si>
    <t xml:space="preserve">KAREN DENISSE REYES </t>
  </si>
  <si>
    <t xml:space="preserve">MARIA AURORA CASTRO </t>
  </si>
  <si>
    <t>SINDY YOHANA ARIAS QUINTERO</t>
  </si>
  <si>
    <t>008-2023</t>
  </si>
  <si>
    <t>MAYRA ALEJANDRA CASTELLANOS</t>
  </si>
  <si>
    <t>006-2023</t>
  </si>
  <si>
    <t>FANNY EDITH QUIROGA</t>
  </si>
  <si>
    <t>002-2023</t>
  </si>
  <si>
    <t>COMUNICACIÓN CELULAR S.A. COMCEL S.A  EMPRESA DE TELECOMUNICACIONES DE BOGOTÁ ETB</t>
  </si>
  <si>
    <t>YEIMI ANDREA MATALLANA</t>
  </si>
  <si>
    <t>Adriana Pardo</t>
  </si>
  <si>
    <t xml:space="preserve">Prestación de servicios profesionales para ejecución de las actividades  en el perfil de pagador y los afines asignados en el  Sistema Integrado de Información Financiera (SIIF) dentro proceso Financiero del INCI
Se cambia por: 
Prestación de servicios profesionales para depuración contable de la cuenta propiedad planta y equipo aplicativo WEB SAFI  en labores de registro, control y seguimiento y apoyo en actividades referentes a elaboración de estudios previos del área administrativa y financiera  </t>
  </si>
  <si>
    <t>Prestación de servicios de apoyo a la gestión para la estructuración y adaptación de documentos digitales accesibles para la Biblioteca virtual para ciegos</t>
  </si>
  <si>
    <t>Prestar servicios profesionales para la gestión, apoyo y trámite de la actividad disciplinaria  así como apoyo a la actividad contractual de la entidad .</t>
  </si>
  <si>
    <t>225 días</t>
  </si>
  <si>
    <t>Prestación de servicios para la creación de contenidos y de apoyo a la gestión de producción radial y contenidos web de la emisora INCI Radio: 
Se cambia por: 
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</si>
  <si>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Prestar servicios profesionales para llevar a cabo la locución y producción de contenidos radiales y web sobre de la población con discapacidad visual, de la programación de la emisora virtual INCIRadio La Radio Incluyente.
Se cambia por: 
Prestar servicios profesionales para llevar a cabo la locución y producción de contenidos del proceso producción radial y audiovisual</t>
  </si>
  <si>
    <t>CINDY ARANDIA VELANDIA</t>
  </si>
  <si>
    <t>067-2022</t>
  </si>
  <si>
    <t>AXA COLPATRIA SEGUROS S.A.</t>
  </si>
  <si>
    <t>102-2022</t>
  </si>
  <si>
    <t>SEGURIDAD ACROPOLIS LIMITADA</t>
  </si>
  <si>
    <t>063-2022</t>
  </si>
  <si>
    <t>IFX NETWORKS COLOMBIA S A S</t>
  </si>
  <si>
    <t>PACHECO HERNANDEZ TERESITA DE JESUS</t>
  </si>
  <si>
    <t>CHVES JARRO CLAUDIA LILIANA</t>
  </si>
  <si>
    <t>PARRA GUERRERO ANDRES CAMILO</t>
  </si>
  <si>
    <t>MONROY SANZ NICOLAS</t>
  </si>
  <si>
    <t>GARNICA COBA CAMILO ANDRES</t>
  </si>
  <si>
    <t>QUINTERO CALDERON CARLOS EDUARDO</t>
  </si>
  <si>
    <t>BOLIVAR RODRIGUEZ DIANA GUIOMAR</t>
  </si>
  <si>
    <t>KING GARCES ENRIQUE EFRAIN</t>
  </si>
  <si>
    <t>ORTIZ TORRES LUZ HEDY</t>
  </si>
  <si>
    <t>CORTES ALDANA ANGELA PATRICIA</t>
  </si>
  <si>
    <t>Prestar servicios de apoyo profesional en actividades de comercialización de productos especializados para personas con discapacidad visual en La Tienda INCI</t>
  </si>
  <si>
    <t xml:space="preserve">Circular No 1 </t>
  </si>
  <si>
    <t>11
Se modifica a 315 días</t>
  </si>
  <si>
    <t>1
Se modifica a 2</t>
  </si>
  <si>
    <t>Contratación de prestación de servicios para el mantenimiento del ascensor del INCI
Se cambia por:
Prestar el servicio de mantenimiento preventivo y correctivo, incluida la mano de obra y bolsa de repuestos que requieran los ascensores del instituto nacional para ciegos- INCI</t>
  </si>
  <si>
    <t xml:space="preserve"> Adquisición y administración de Licencias Firewall 
Se cambia por: 
Contratar la adquisición, instalación y puesta en funcionamiento de dos equipos firewall con sus licencias  para la sede del INCI  
</t>
  </si>
  <si>
    <t xml:space="preserve"> Adquisición de equipos de Firewall 
Se cambia por: 
Contratar la adquisición, instalación y puesta en funcionamiento de dos equipos firewall con sus licencias  para la sede del INCI  </t>
  </si>
  <si>
    <t>7
Se cambia 2</t>
  </si>
  <si>
    <t>Código producto del proyecto o código plan de adquisiciones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</si>
  <si>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
Se cambia por: 
Prestación de servicios de apoyo a la gestión, brindando asesoría y acompañamiento  en acceso a la información de personas con discapacidad visual para Instituciones educativas, personas naturales, entidades públicas y privadas.</t>
  </si>
  <si>
    <t>Edwin Beltrán</t>
  </si>
  <si>
    <t xml:space="preserve">11
Se modifica a 10 </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</si>
  <si>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
Se modifica así: 
Prestación de servicios de mantenimiento y soporte del software en línea de gestión empresarial especializado en artes gráficas, de acuerdo a las necesidades de la Imprenta Nacional para Ciegos del INCI</t>
  </si>
  <si>
    <t>Servicio de mantenimiento correctivo y preventivo de las máquinas Offset y de la máquina Estereotipadora PED 30.
Se modifica así: 
Servicio de mantenimiento correctivo y preventivo de las máquinas Offset</t>
  </si>
  <si>
    <t>Servicio de mantenimiento correctivo y preventivo de la máquina Estereotipadora PED 30.</t>
  </si>
  <si>
    <t>Prestar servicios de apoyo a la gestión para realizar la revisión de calidad y lectura braille de los productos elaborados en la imprenta Nacional para Ciegos. 
Se modifica así: 
Prestación de servicios de apoyo a la gestión para realizar actividades relacionadas con la impresión en tinta braille y finalizado de productos en la imprenta Nacional para Ciegos.</t>
  </si>
  <si>
    <t xml:space="preserve">Prestación de servicios profesionales para el diseño y ejecución de espacios que promuevan la inclusión social de las personas con discapacidad visual 
Se modifica por: 
Prestación de servicios profesionales para generar espacios y contenidos que promuevan el acceso a la información y la inclusión social de las personas con discapacidad visual </t>
  </si>
  <si>
    <t>11
Se modifica a 9</t>
  </si>
  <si>
    <t>ENEL COLOMBIA S.A E.S.P</t>
  </si>
  <si>
    <t>EMPRESA DE ACUEDUCTO Y ALCANTARILLADO DE BOGOTA - ESP</t>
  </si>
  <si>
    <t>RESOLUCION
20231000000323</t>
  </si>
  <si>
    <t xml:space="preserve">2023-02-17 </t>
  </si>
  <si>
    <t>CANO ALBORNOZ MARTHA PATRICIA</t>
  </si>
  <si>
    <t>DUQUE LINARES DAVID ALEJANDRO</t>
  </si>
  <si>
    <t>CASTAÑEDA VARGAS LUIS ALEJANDRO</t>
  </si>
  <si>
    <t>PABON PERILLA FERNEY ALEJANDRO</t>
  </si>
  <si>
    <t>LOPEZ RONIS</t>
  </si>
  <si>
    <t>VILLAMIZAR NELSON JULIAN</t>
  </si>
  <si>
    <t>MEDINA LOZANO WILMAR JAVIER</t>
  </si>
  <si>
    <t>DIAZ CHACON HENRY ALONSO</t>
  </si>
  <si>
    <t>022-2023</t>
  </si>
  <si>
    <t>RUIZ ACHARDY JORGE ELIECER</t>
  </si>
  <si>
    <t>029-2023</t>
  </si>
  <si>
    <t>COMPAÑIA DE VIGILANCIA PRIVADA VIGILISTA LTDA</t>
  </si>
  <si>
    <t>Contratación de prestación de servicio para soporte y actualización de licencia IOS aplicaciones del INCI y plataforma de E-learning</t>
  </si>
  <si>
    <t>Contratación de prestación de servicios profesionales para el apoyo a los procesos disciplinarios adelantados en segunda instancia, así como la capacitación en normas disciplinarias</t>
  </si>
  <si>
    <t>HOYOS CUBIDES LEIDY FERNANDA</t>
  </si>
  <si>
    <t>035-2023</t>
  </si>
  <si>
    <t>RICOH COLOMBIA S.A.</t>
  </si>
  <si>
    <t>036-2023</t>
  </si>
  <si>
    <t>FREDY BLADIMIR VANEGAS LADINO</t>
  </si>
  <si>
    <t>037-2023</t>
  </si>
  <si>
    <t>YEIMY GABRIELA GOMEZ MORENO</t>
  </si>
  <si>
    <t xml:space="preserve">105601/039-2023
</t>
  </si>
  <si>
    <t>CONTRATO PRESTACIÓN SERVICIOS PROFESIONALES</t>
  </si>
  <si>
    <t xml:space="preserve">1A SOLUCIONES GS SAS </t>
  </si>
  <si>
    <t>7623-8023</t>
  </si>
  <si>
    <t>CLAVIJO QUINTIN ANDREA</t>
  </si>
  <si>
    <t>MUÑOZ LOPEZ GUSTAVO ADOLFO</t>
  </si>
  <si>
    <t>MUNDOLIMPIEZA LTDA</t>
  </si>
  <si>
    <t>107104//051-2023</t>
  </si>
  <si>
    <t>EMPRESA DE TELECOMUNICACIONES DE BOGOTA SA ESP PUDIENDO IDENTIFICARSE PARA TODOS LOS EFECTOS CON LA SIGLA ETB S.A. E.S.P.</t>
  </si>
  <si>
    <t>10523-10623</t>
  </si>
  <si>
    <t>29/03/2023
31/03/2023</t>
  </si>
  <si>
    <t>106893//050-2023</t>
  </si>
  <si>
    <t>89047//067-2022
106893//050-2023</t>
  </si>
  <si>
    <t>SERVIASEO S A</t>
  </si>
  <si>
    <t>MUNDOLIMPIEZA LTDA
SERVIASEO S A</t>
  </si>
  <si>
    <t>040-</t>
  </si>
  <si>
    <t>RODRIGUEZ HERNANDEZ ANDRES FELIPE</t>
  </si>
  <si>
    <t>044-</t>
  </si>
  <si>
    <t>GRUPO INEDITTO SAS</t>
  </si>
  <si>
    <t>046-</t>
  </si>
  <si>
    <t>SUPANTEVE CARLOS</t>
  </si>
  <si>
    <t>042-</t>
  </si>
  <si>
    <t>ROSAS DIAZ CAROLINA</t>
  </si>
  <si>
    <t>TRANSPORTE TERRESTRE</t>
  </si>
  <si>
    <t>052-</t>
  </si>
  <si>
    <t>SOLER ALFONSO JAIME</t>
  </si>
  <si>
    <t>041-</t>
  </si>
  <si>
    <t>PINTOR GUTIERREZ CAMILO ANDRES</t>
  </si>
  <si>
    <t>045-</t>
  </si>
  <si>
    <t>BELLO LADINO DAVID HERNANDO</t>
  </si>
  <si>
    <t>048-</t>
  </si>
  <si>
    <t>COLOMBIAWEBS GROUP SAS</t>
  </si>
  <si>
    <t>049-</t>
  </si>
  <si>
    <t>VILLATE LEON PABLO ERNESTO</t>
  </si>
  <si>
    <t>010-2023</t>
  </si>
  <si>
    <t>SOFTWARE HOUSE LTDA</t>
  </si>
  <si>
    <t>1
Se modifica a 2
Se modifica a 4</t>
  </si>
  <si>
    <t>1
Se modifica a 0</t>
  </si>
  <si>
    <t>11
Se modifica a 10 
Se modifica a 255 días</t>
  </si>
  <si>
    <t>Carlos Córdoba</t>
  </si>
  <si>
    <t>Sandy Vargas</t>
  </si>
  <si>
    <t>A-08-01-02-003</t>
  </si>
  <si>
    <t>TR-06</t>
  </si>
  <si>
    <t>IMPUESTO INDUSTRIA Y COMERCIO</t>
  </si>
  <si>
    <t xml:space="preserve">IMPUESTO </t>
  </si>
  <si>
    <t>BOGOTA DISTRITO CAPITAL</t>
  </si>
  <si>
    <t>CENTRO CAR 19 LIMITADA</t>
  </si>
  <si>
    <t>053-</t>
  </si>
  <si>
    <t>Prestación de servicios profesionales para la Biblioteca Virtual para Ciegos de Colombia</t>
  </si>
  <si>
    <t>Claudia Valdés</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</si>
  <si>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</si>
  <si>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11
Se modifica a 10 
Se modifica a 8</t>
  </si>
  <si>
    <t>1
Se modifica a 2
Se modifica a 3</t>
  </si>
  <si>
    <t>11
Se modifica a 315 días
Se modifica a 10</t>
  </si>
  <si>
    <t>Contratación directa
Se modifica a menor cuantía
Se modifica a minima cuantía</t>
  </si>
  <si>
    <t>Menor Cuantía
Se modifica a minima cuantía</t>
  </si>
  <si>
    <t>Profesional educación</t>
  </si>
  <si>
    <t>5123-12123</t>
  </si>
  <si>
    <t>5223-12223</t>
  </si>
  <si>
    <t>055-</t>
  </si>
  <si>
    <t>PINTO NARANJO WILSON MANUEL</t>
  </si>
  <si>
    <t>054-</t>
  </si>
  <si>
    <t>GAMMA INGENIEROS S.A.S.</t>
  </si>
  <si>
    <t>12323-12423-12523</t>
  </si>
  <si>
    <t>A-08-01-02-006</t>
  </si>
  <si>
    <t>Circular No 2</t>
  </si>
  <si>
    <t>Prestación de servicios profesionales para la revisión y mejora a que haya lugar de los programas del PIGA ( Plan Institucional de Gestion Ambiental ) la implementación y aplicación de los mismos en la vigencia actual, elaboracion de documentos, informes, registros, seguimiento, capacitacion y lo demas relacionado con obligaciones en materia de normas de tipo ambiental en el Instituto Nacional para Ciegos- INCI</t>
  </si>
  <si>
    <t>231 días</t>
  </si>
  <si>
    <t>Circular No 1
Circular No 2</t>
  </si>
  <si>
    <t>Dotación
Se cambia por: Adquisición de dotación para los servidores del Instituto Nacional para Ciegos – INCI-, en cumplimiento del Artículo 2.2.1.4.1. del Decreto 1072 de 2015</t>
  </si>
  <si>
    <t>3323-12823</t>
  </si>
  <si>
    <t xml:space="preserve"> Soporte de Firewall 
Se cambia por: 
Prestación de servicios para la instalación, configuración, implementación y soporte de los dispositivos Firewall Fortinet de propiedad del Instituto Nacional para Ciegos - INCI </t>
  </si>
  <si>
    <t>13123-13223</t>
  </si>
  <si>
    <t>4623-13523</t>
  </si>
  <si>
    <t>17/02/2023
2023-05-02</t>
  </si>
  <si>
    <t>PIRACUN CELI OSCAR NICOLAS
GOMEZ AVILA MARYURY</t>
  </si>
  <si>
    <t>030-2023
056-2023</t>
  </si>
  <si>
    <t>4723-13623</t>
  </si>
  <si>
    <t>031-2023
057-2023</t>
  </si>
  <si>
    <t>057-2023</t>
  </si>
  <si>
    <t>GARZON RAMOS MARIA NELSY
SANCHEZ REYES LUISA FERNANDA</t>
  </si>
  <si>
    <t>SANCHEZ REYES LUISA FERNANDA</t>
  </si>
  <si>
    <t>BOGOTA DISTRITO CAPITAL
MUNICIPIO DE SANTANDER DE QUILICHAO</t>
  </si>
  <si>
    <t>14023-14123-14323</t>
  </si>
  <si>
    <t>RESOLUCION
2023100000763
20231000001083</t>
  </si>
  <si>
    <t>RESOLUCION
2023100000773
20231000001093</t>
  </si>
  <si>
    <t xml:space="preserve">Gastos de viaje para el desarrollo de las asistencias técnicas de los contratistas en las regiones </t>
  </si>
  <si>
    <t>8923-11223-11923-13723-13823</t>
  </si>
  <si>
    <t xml:space="preserve"> Soporte de Directorio activo se cambia por: 
Prestar el servicio de soporte y configuración del Directorio Activo del Instituto Nacional para Ciegos – INCI.</t>
  </si>
  <si>
    <t xml:space="preserve">Circular No 1
</t>
  </si>
  <si>
    <t>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</si>
  <si>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1323-13923</t>
  </si>
  <si>
    <t>1123-14023</t>
  </si>
  <si>
    <t>42132200
24111503
42311511
42311500
42311703
51102722
42141502
42181501
42182201
42182604
12352104
41104213</t>
  </si>
  <si>
    <t>2
Se cambia a 6</t>
  </si>
  <si>
    <t>2923-16723</t>
  </si>
  <si>
    <t>6023-16823</t>
  </si>
  <si>
    <t>2623-16923</t>
  </si>
  <si>
    <t>4123-17023</t>
  </si>
  <si>
    <t>2223-17123</t>
  </si>
  <si>
    <t>3023-17223</t>
  </si>
  <si>
    <t>3123-17323</t>
  </si>
  <si>
    <t>3223-17423</t>
  </si>
  <si>
    <t>Prestación de servicios de apoyo a la gestión para realizar actividades relacionadas con la impresión en tinta braille y finalizado de productos en la imprenta Nacional para Ciegos. 
Se cambia por: 
Prestar servicios de apoyo a la gestión en actividades de diseño, transcripción e impresión en sistema tinta braille en el proceso productivo de la Imprenta Nacional para Ciegos.</t>
  </si>
  <si>
    <t>Circular No 1 
Circular No 2</t>
  </si>
  <si>
    <t>Prestación de servicios de apoyo a la gestión para realizar labores operativas y de impresión en las máquinas impresoras Index Braille y finalizado de productos en la imprenta Nacional para Ciegos.</t>
  </si>
  <si>
    <t>1
Se modifica a 2
Se modifica a 6</t>
  </si>
  <si>
    <t>10
Se modifica a 7</t>
  </si>
  <si>
    <t>1
Se modifica a 6</t>
  </si>
  <si>
    <t>345 dìas
Se modifica a 11
Se modifica a 7</t>
  </si>
  <si>
    <t>2
Se modifica a 5
Se modifica a 6</t>
  </si>
  <si>
    <t>2
Se modifica a 7
Se modifica a 6</t>
  </si>
  <si>
    <t>923-14923</t>
  </si>
  <si>
    <t>723-15123</t>
  </si>
  <si>
    <t>1623-15223</t>
  </si>
  <si>
    <t>3823-7423-11723-17523</t>
  </si>
  <si>
    <t>7023-18023</t>
  </si>
  <si>
    <t>ROMERO BARREIRO MARÍA DEL PILAR</t>
  </si>
  <si>
    <t>060-</t>
  </si>
  <si>
    <t>3123-15123</t>
  </si>
  <si>
    <t xml:space="preserve">1/02/2023
2023-05-10 </t>
  </si>
  <si>
    <t>020-2023
059-</t>
  </si>
  <si>
    <t>058-</t>
  </si>
  <si>
    <t>MXM GROUP SAS</t>
  </si>
  <si>
    <t>823-15923</t>
  </si>
  <si>
    <t>16/01/2023
2023-05-18</t>
  </si>
  <si>
    <t>003-2023
064-</t>
  </si>
  <si>
    <t>1123
16023</t>
  </si>
  <si>
    <t xml:space="preserve">17/01/2023
2023-05-18 </t>
  </si>
  <si>
    <t>007-2023
065-</t>
  </si>
  <si>
    <t>1623
16223</t>
  </si>
  <si>
    <t>18/01/2023
2023-05-19</t>
  </si>
  <si>
    <t>009-2023
067-</t>
  </si>
  <si>
    <t>4123-9623-13323-17423</t>
  </si>
  <si>
    <t>14/02/2023
2023-03-23
2023-04-26
2023-05-29</t>
  </si>
  <si>
    <t>RESOLUCION
20231000000323
20231000000693
20231000001023
2023100001363</t>
  </si>
  <si>
    <t>Prestación de servicios técnicos para apoyar las actividades de asistencia técnica en actividades relativas a la accesibilidad web y tecnología especializada, en el marco del proyecto mejoramiento de las condiciones para la garantía de los derechos de las personas con discapacidad visual del país.</t>
  </si>
  <si>
    <t>9
Se modifica a 11</t>
  </si>
  <si>
    <t>069-</t>
  </si>
  <si>
    <t>SERVICIO AEREO A TERRITORIOS NACIONALES S.A.</t>
  </si>
  <si>
    <t>3923-17623</t>
  </si>
  <si>
    <t>5823-17823</t>
  </si>
  <si>
    <t>923-15623</t>
  </si>
  <si>
    <t>16/01/2023
2023-05-17</t>
  </si>
  <si>
    <t>005-2023
062-</t>
  </si>
  <si>
    <t>1023-15723</t>
  </si>
  <si>
    <t>004-2023
063</t>
  </si>
  <si>
    <t>COMERANDINA INDUSTRIAL S.A.S.</t>
  </si>
  <si>
    <t>061-</t>
  </si>
  <si>
    <t>070-</t>
  </si>
  <si>
    <t>1423-13323</t>
  </si>
  <si>
    <t>1723-15323</t>
  </si>
  <si>
    <t>2823-16323</t>
  </si>
  <si>
    <t>2123-16423</t>
  </si>
  <si>
    <t>1323-16123</t>
  </si>
  <si>
    <t>1223-16323</t>
  </si>
  <si>
    <t>18/01/2023
19-05-2023</t>
  </si>
  <si>
    <t>205 días</t>
  </si>
  <si>
    <t>RESOLUCION
2023100000463
2023100000823
2023100000833
2023100001053
2023100001063
2023100001073
2023100001103
2023100001113
2023100001453</t>
  </si>
  <si>
    <t>10923-14923-14923-16423-19923</t>
  </si>
  <si>
    <t>31/03/2023
2023-05-08
2023-05-19-
2023-06-07</t>
  </si>
  <si>
    <t>31/03/2023
2023-05-08
2023-05-19
2023-06-07</t>
  </si>
  <si>
    <t>10823-14823-16523-19823</t>
  </si>
  <si>
    <t>4023-7123-9423-14223-18423</t>
  </si>
  <si>
    <t>3323-6923-11123-15323-19323</t>
  </si>
  <si>
    <t>6/02/2023
2023-04-10
07-03-2023
2023-05-12
2023-06-05</t>
  </si>
  <si>
    <t>4723-7223-9523-12723-18523</t>
  </si>
  <si>
    <t>3723-7023-11223-14523-19423</t>
  </si>
  <si>
    <t>8/02/2023
2023-03-07
2023-10-04 
05-05-2023
2023-06-05</t>
  </si>
  <si>
    <t>5423-18123</t>
  </si>
  <si>
    <t>4323-18223</t>
  </si>
  <si>
    <t>4423-18323</t>
  </si>
  <si>
    <t>4223-18723</t>
  </si>
  <si>
    <t>2723-18823</t>
  </si>
  <si>
    <t>3223-17623</t>
  </si>
  <si>
    <t xml:space="preserve">1/02/2023
2023-06-01 </t>
  </si>
  <si>
    <t>021-2023
071</t>
  </si>
  <si>
    <t>2123-17723</t>
  </si>
  <si>
    <t>27/01/2023
2023-06-01</t>
  </si>
  <si>
    <t>011-2023
072</t>
  </si>
  <si>
    <t>073-</t>
  </si>
  <si>
    <t>MCE NET SOLUTIONS SAS</t>
  </si>
  <si>
    <t>5923-17923</t>
  </si>
  <si>
    <t>1/03/2023
2023-06-01</t>
  </si>
  <si>
    <t>038-2023
074</t>
  </si>
  <si>
    <t>075-</t>
  </si>
  <si>
    <t>3523-18123</t>
  </si>
  <si>
    <t>7/02/2023
2023-06-01</t>
  </si>
  <si>
    <t>023-2023
076</t>
  </si>
  <si>
    <t>2523-18223</t>
  </si>
  <si>
    <t>31/01/2023
2023-06-01</t>
  </si>
  <si>
    <t>014-2023
077</t>
  </si>
  <si>
    <t>2723-18323</t>
  </si>
  <si>
    <t>1/02/2023
2023-06-01</t>
  </si>
  <si>
    <t>016-2023
078</t>
  </si>
  <si>
    <t>2623-18423</t>
  </si>
  <si>
    <t>015-2023
079</t>
  </si>
  <si>
    <t>2923-18523</t>
  </si>
  <si>
    <t>018-2023
080</t>
  </si>
  <si>
    <t>3023-18623</t>
  </si>
  <si>
    <t>19-2023
081</t>
  </si>
  <si>
    <t>IDEALOGIC S.A.S.</t>
  </si>
  <si>
    <t>082-</t>
  </si>
  <si>
    <t>PANAMERICANA LIBRERIA Y PAPELERIA SA</t>
  </si>
  <si>
    <t>110402-085</t>
  </si>
  <si>
    <t>2323-18923</t>
  </si>
  <si>
    <t>30/01/2023
2023-06-02</t>
  </si>
  <si>
    <t>012-2023
084</t>
  </si>
  <si>
    <t>5523-19023</t>
  </si>
  <si>
    <t>24/02/2023
2023-06-02</t>
  </si>
  <si>
    <t>034-2023-086</t>
  </si>
  <si>
    <t>086-</t>
  </si>
  <si>
    <t>NUÑEZ SALAZAR CAMILO ANDRES
SUAREZ BRICEÑO DANNY ARTURO</t>
  </si>
  <si>
    <t>SUAREZ BRICEÑO DANNY ARTURO</t>
  </si>
  <si>
    <t>7723-11423-11523-13423-13723-13823-13923-14623-14723-20023-19123</t>
  </si>
  <si>
    <t xml:space="preserve">16/03/2023
2023-04-12 
2023-04-27
2023-04-28
2023-05-02
2023-05-05
2023-06-07
2023-06-05 </t>
  </si>
  <si>
    <t>RESOLUCION
20231000001403</t>
  </si>
  <si>
    <t>ALL TECHNOLOGICAL SERVICES ATS S.A.S.</t>
  </si>
  <si>
    <t>083-</t>
  </si>
  <si>
    <t>3423-19623</t>
  </si>
  <si>
    <t>7/02/2023
2023-06-06</t>
  </si>
  <si>
    <t>6823-19723</t>
  </si>
  <si>
    <t xml:space="preserve">7/03/2023
2023-06-06 </t>
  </si>
  <si>
    <t>047-
088</t>
  </si>
  <si>
    <t>Contratación servicio de Fumigacion 
Se modifica por: 
Prestar el servicio de lavado  y desinfección de los tanques de reserva de agua potable y la fumigación, desinfección y desratización de las áreas del Instituto Nacional para Ciegos INCI</t>
  </si>
  <si>
    <t>3
Se modifica a 6</t>
  </si>
  <si>
    <t>9
Se modifica a 6</t>
  </si>
  <si>
    <t>72102103;
24111813</t>
  </si>
  <si>
    <t>7723-9623-9723-10623-10723-10923-10823-11523-11423-11623-11823-16123-16523-20223</t>
  </si>
  <si>
    <t>4
Se modifica a 6</t>
  </si>
  <si>
    <t>Prestar servicios profesionales para la gestión, apoyo y trámite en la Oficina Asesora Juridica del Instituto Nacional para Ciegos – INCI.</t>
  </si>
  <si>
    <t>185 días</t>
  </si>
  <si>
    <t>10423-22223</t>
  </si>
  <si>
    <t>29/03/2023
23-06-2023</t>
  </si>
  <si>
    <t>8423-11323-12023--13523-13623-21023-21123</t>
  </si>
  <si>
    <t>12023-8423-11323-13523-13623-21023-21123</t>
  </si>
  <si>
    <t>16223-20823</t>
  </si>
  <si>
    <t>TERESITA DE JESUS PACHECO</t>
  </si>
  <si>
    <t>5623-19023</t>
  </si>
  <si>
    <t>5323-18923</t>
  </si>
  <si>
    <t>• 46181500
• 46181531
• 46181532
• 46181603
• 46181710
• 46181802
• 46181811
• 46181901
• 46181902
• 46182006
• 46181503
• 46181504
• 46181528
• 46181536
• 46181537
• 46181541
• 46181604
• 46181605
• 46181611
• 46181708
• 46181804
• 46182002</t>
  </si>
  <si>
    <t>2
Se modifica a 7</t>
  </si>
  <si>
    <t>2
Se modifica a 6</t>
  </si>
  <si>
    <t>Servicio de mantenimiento correctivo y preventivo de las máquinas impresoras UV LED y cortadora de láser .
Se modifica por: 
Suministro de repuestos para las máquinas impresoras Direct Color Systems 1800Z, Direct Color Systems 1800 BG y Cortadora Laser Epilog Mini/Helix de la Imprenta Nacional para Ciegos del INCI.</t>
  </si>
  <si>
    <t>23153100;
45101505</t>
  </si>
  <si>
    <t>1
Se modifica a 2
Se modifica a 7</t>
  </si>
  <si>
    <t>11
Se modifica a 315 días
Se modifica a 6</t>
  </si>
  <si>
    <t>Prestar el servicio de técnico para el mantenimiento preventivo y/o correctivo para las máquinas   impresoras UV LED y cortadora de láser en la Imprenta Nacional para Ciegos del INCI.</t>
  </si>
  <si>
    <t>81112306
73152101
73152102</t>
  </si>
  <si>
    <t>1523-1823-5723-5923-8223-8323-10023-10123-14723-14823-19823-19923</t>
  </si>
  <si>
    <t>095-</t>
  </si>
  <si>
    <t>C.I. MORASU S.A.S.</t>
  </si>
  <si>
    <t>623-1423-4223-5023-7823-7923-11623-11823-15423-15523-21823-21923</t>
  </si>
  <si>
    <t>16/01/2023 - 18-01-2023-16-02-2023-20-02-2023-2023-03-22-17-04-2023-2023-05-15 
2023-06-2023</t>
  </si>
  <si>
    <t>5523-19623</t>
  </si>
  <si>
    <t>8923-11223-11923-13723-13823-20423-20523</t>
  </si>
  <si>
    <t>7723-9623-9723-10623-10723-10923-10823-11523-11423-11623-11823-16123-16523-20323</t>
  </si>
  <si>
    <t>4423-20123</t>
  </si>
  <si>
    <t xml:space="preserve">17/02/2023
2023-06-08 </t>
  </si>
  <si>
    <t>028-2023
090</t>
  </si>
  <si>
    <t>3823-20223</t>
  </si>
  <si>
    <t>9/02/2023
2023-06-08</t>
  </si>
  <si>
    <t>024-2023
091</t>
  </si>
  <si>
    <t>3923-20323</t>
  </si>
  <si>
    <t>9/02/2023
08-06-2023</t>
  </si>
  <si>
    <t>025-2023
092</t>
  </si>
  <si>
    <t>093-</t>
  </si>
  <si>
    <t>MORENO PARRA JENNIFFER ANDREA DE ARANZAZU</t>
  </si>
  <si>
    <t>099-</t>
  </si>
  <si>
    <t>100-</t>
  </si>
  <si>
    <t>VEGA MARTÍNEZ JUAN FELIPE</t>
  </si>
  <si>
    <t>4023-21523</t>
  </si>
  <si>
    <t>9/02/2023
2023-06-15</t>
  </si>
  <si>
    <t>026-2023
101</t>
  </si>
  <si>
    <t>4323-21723</t>
  </si>
  <si>
    <t>17/02/2023
2023-06-16</t>
  </si>
  <si>
    <t>027-2023
103</t>
  </si>
  <si>
    <t>7723-11423-11523-13423-13723-13823-13923-14623-14723-20023-19123-22523</t>
  </si>
  <si>
    <t>10823-14823-16523-19823-22623-22723</t>
  </si>
  <si>
    <t>31/03/2023
2023-05-08
2023-05-19
2023-06-07-23-06-2023</t>
  </si>
  <si>
    <t>16/03/2023
2023-04-12 
2023-04-27
2023-04-28
2023-05-02
2023-05-05
2023-06-07
2023-06-05 
2023-06-26</t>
  </si>
  <si>
    <t>RESOLUCION
2023100000463
2023100000823
2023100000833
2023100001053
2023100001063
2023100001073
2023100001103
2023100001113
2023100001453
20231000001613</t>
  </si>
  <si>
    <t>RESOLUCION
2023100000763
20231000001083
20231000001603
20231000001593</t>
  </si>
  <si>
    <t>2823-20523</t>
  </si>
  <si>
    <t>1/02/2023
2023-06-09</t>
  </si>
  <si>
    <t>017-2023
096-</t>
  </si>
  <si>
    <t>094-</t>
  </si>
  <si>
    <t>METABIBLIOTECA S A S</t>
  </si>
  <si>
    <t>089-</t>
  </si>
  <si>
    <t>CAMARA COLOMBIANA DEL LIBRO</t>
  </si>
  <si>
    <t>102-</t>
  </si>
  <si>
    <t>RAMIREZ RUIZ LADY NATALY</t>
  </si>
  <si>
    <t>4823-20723</t>
  </si>
  <si>
    <t>2023-02-20 
2023-06-13</t>
  </si>
  <si>
    <t>032-2023
098</t>
  </si>
  <si>
    <t>098-</t>
  </si>
  <si>
    <t>4923-200823</t>
  </si>
  <si>
    <t>033-2023
097</t>
  </si>
  <si>
    <t>Contratacion directa</t>
  </si>
  <si>
    <t>A-02-02-02-009-006</t>
  </si>
  <si>
    <t>3823-7423-11723-17523-21823</t>
  </si>
  <si>
    <t>4123-9623-13323-17423-23323</t>
  </si>
  <si>
    <t>14/02/2023
2023-03-23
2023-04-26
2023-05-29
2023-06-28</t>
  </si>
  <si>
    <t>RESOLUCION
20231000000323
20231000000693
20231000001023
2023100001363
20231000001953</t>
  </si>
  <si>
    <t>9823-19523</t>
  </si>
  <si>
    <t>11323-21023</t>
  </si>
  <si>
    <t>11/04/2023
2023-06-14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</si>
</sst>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_-;\-&quot;$&quot;\ * #,##0_-;_-&quot;$&quot;\ * &quot;-&quot;??_-;_-@_-"/>
    <numFmt numFmtId="166" formatCode="_-* #,##0.00_-;\-* #,##0.00_-;_-* &quot;-&quot;_-;_-@_-"/>
  </numFmts>
  <fonts count="37" x14ac:knownFonts="1">
    <font>
      <sz val="11"/>
      <color theme="1"/>
      <name val="Calibri"/>
      <family val="2"/>
      <scheme val="minor"/>
    </font>
    <font>
      <sz val="14"/>
      <name val="Arial"/>
      <family val="2"/>
    </font>
    <font>
      <sz val="14"/>
      <color theme="1"/>
      <name val="Arial"/>
      <family val="2"/>
    </font>
    <font>
      <b/>
      <sz val="14"/>
      <color theme="1"/>
      <name val="Calibri"/>
      <family val="2"/>
      <scheme val="minor"/>
    </font>
    <font>
      <sz val="11"/>
      <color theme="1"/>
      <name val="Calibri"/>
      <family val="2"/>
      <scheme val="minor"/>
    </font>
    <font>
      <sz val="11"/>
      <color theme="0"/>
      <name val="Calibri"/>
      <family val="2"/>
      <scheme val="minor"/>
    </font>
    <font>
      <sz val="12"/>
      <color theme="1"/>
      <name val="Arial"/>
      <family val="2"/>
    </font>
    <font>
      <b/>
      <sz val="10"/>
      <color theme="1"/>
      <name val="Verdana"/>
      <family val="2"/>
    </font>
    <font>
      <sz val="10"/>
      <name val="Arial"/>
      <family val="2"/>
    </font>
    <font>
      <sz val="12"/>
      <name val="Arial"/>
      <family val="2"/>
    </font>
    <font>
      <u/>
      <sz val="11"/>
      <color theme="10"/>
      <name val="Calibri"/>
      <family val="2"/>
      <scheme val="minor"/>
    </font>
    <font>
      <b/>
      <sz val="14"/>
      <color indexed="81"/>
      <name val="Tahoma"/>
      <family val="2"/>
    </font>
    <font>
      <sz val="14"/>
      <color indexed="81"/>
      <name val="Tahoma"/>
      <family val="2"/>
    </font>
    <font>
      <b/>
      <sz val="9"/>
      <color indexed="81"/>
      <name val="Tahoma"/>
      <family val="2"/>
    </font>
    <font>
      <sz val="9"/>
      <color indexed="81"/>
      <name val="Tahoma"/>
      <family val="2"/>
    </font>
    <font>
      <b/>
      <sz val="14"/>
      <name val="Arial"/>
      <family val="2"/>
    </font>
    <font>
      <sz val="16"/>
      <color rgb="FF000000"/>
      <name val="Arial"/>
      <family val="2"/>
    </font>
    <font>
      <sz val="12"/>
      <color rgb="FF000000"/>
      <name val="Arial"/>
      <family val="2"/>
    </font>
    <font>
      <sz val="10"/>
      <color theme="1"/>
      <name val="Verdana"/>
      <family val="2"/>
    </font>
    <font>
      <sz val="12"/>
      <color rgb="FFFF0000"/>
      <name val="Arial"/>
      <family val="2"/>
    </font>
    <font>
      <sz val="11"/>
      <name val="Arial"/>
      <family val="2"/>
    </font>
    <font>
      <u/>
      <sz val="11"/>
      <name val="Calibri"/>
      <family val="2"/>
      <scheme val="minor"/>
    </font>
    <font>
      <sz val="14"/>
      <color rgb="FF000000"/>
      <name val="Arial"/>
      <family val="2"/>
    </font>
    <font>
      <b/>
      <sz val="18"/>
      <name val="Calibri"/>
      <family val="2"/>
      <scheme val="minor"/>
    </font>
    <font>
      <b/>
      <sz val="12"/>
      <name val="Arial"/>
      <family val="2"/>
    </font>
    <font>
      <b/>
      <sz val="12"/>
      <color theme="1"/>
      <name val="Arial"/>
      <family val="2"/>
    </font>
    <font>
      <b/>
      <sz val="12"/>
      <color theme="1"/>
      <name val="Calibri"/>
      <family val="2"/>
      <scheme val="minor"/>
    </font>
    <font>
      <sz val="12"/>
      <color theme="1"/>
      <name val="Calibri"/>
      <family val="2"/>
      <scheme val="minor"/>
    </font>
    <font>
      <sz val="11"/>
      <color rgb="FF000000"/>
      <name val="Arial"/>
      <family val="2"/>
    </font>
    <font>
      <sz val="12"/>
      <name val="Arial Narrow"/>
      <family val="2"/>
    </font>
    <font>
      <b/>
      <sz val="16"/>
      <color rgb="FF000000"/>
      <name val="Arial"/>
      <family val="2"/>
    </font>
    <font>
      <sz val="48"/>
      <color theme="8" tint="-0.249977111117893"/>
      <name val="Arial"/>
      <family val="2"/>
    </font>
    <font>
      <sz val="11"/>
      <color rgb="FF000000"/>
      <name val="Calibri"/>
      <family val="2"/>
      <scheme val="minor"/>
    </font>
    <font>
      <b/>
      <sz val="14"/>
      <color rgb="FF000000"/>
      <name val="Arial"/>
      <family val="2"/>
    </font>
    <font>
      <sz val="16"/>
      <name val="Arial"/>
      <family val="2"/>
    </font>
    <font>
      <sz val="16"/>
      <color theme="1"/>
      <name val="Arial"/>
      <family val="2"/>
    </font>
    <font>
      <sz val="48"/>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B4C6E7"/>
        <bgColor rgb="FF000000"/>
      </patternFill>
    </fill>
    <fill>
      <patternFill patternType="solid">
        <fgColor rgb="FFFFC000"/>
        <bgColor rgb="FF000000"/>
      </patternFill>
    </fill>
    <fill>
      <patternFill patternType="solid">
        <fgColor rgb="FFFFFFFF"/>
        <bgColor rgb="FF000000"/>
      </patternFill>
    </fill>
    <fill>
      <patternFill patternType="solid">
        <fgColor theme="7" tint="0.79998168889431442"/>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7" tint="0.59999389629810485"/>
        <bgColor indexed="64"/>
      </patternFill>
    </fill>
    <fill>
      <patternFill patternType="solid">
        <fgColor rgb="FF92D050"/>
        <bgColor indexed="64"/>
      </patternFill>
    </fill>
    <fill>
      <patternFill patternType="solid">
        <fgColor rgb="FF99CCFF"/>
        <bgColor indexed="64"/>
      </patternFill>
    </fill>
    <fill>
      <patternFill patternType="solid">
        <fgColor rgb="FFCCFFFF"/>
        <bgColor indexed="64"/>
      </patternFill>
    </fill>
    <fill>
      <patternFill patternType="solid">
        <fgColor rgb="FF99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44" fontId="4" fillId="0" borderId="0" applyFont="0" applyFill="0" applyBorder="0" applyAlignment="0" applyProtection="0"/>
    <xf numFmtId="0" fontId="5" fillId="7" borderId="0" applyNumberFormat="0" applyBorder="0" applyAlignment="0" applyProtection="0"/>
    <xf numFmtId="0" fontId="7" fillId="8" borderId="0" applyNumberFormat="0" applyBorder="0" applyProtection="0">
      <alignment horizontal="center" vertical="center"/>
    </xf>
    <xf numFmtId="37" fontId="8" fillId="0" borderId="0"/>
    <xf numFmtId="0" fontId="10" fillId="0" borderId="0" applyNumberFormat="0" applyFill="0" applyBorder="0" applyAlignment="0" applyProtection="0"/>
    <xf numFmtId="0" fontId="4" fillId="0" borderId="0"/>
    <xf numFmtId="49" fontId="18" fillId="0" borderId="0" applyFill="0" applyBorder="0" applyProtection="0">
      <alignment horizontal="left" vertical="center"/>
    </xf>
    <xf numFmtId="42" fontId="4" fillId="0" borderId="0" applyFont="0" applyFill="0" applyBorder="0" applyAlignment="0" applyProtection="0"/>
    <xf numFmtId="41" fontId="4" fillId="0" borderId="0" applyFont="0" applyFill="0" applyBorder="0" applyAlignment="0" applyProtection="0"/>
    <xf numFmtId="43" fontId="32"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3" fontId="32" fillId="0" borderId="0" applyFont="0" applyFill="0" applyBorder="0" applyAlignment="0" applyProtection="0"/>
  </cellStyleXfs>
  <cellXfs count="428">
    <xf numFmtId="0" fontId="0" fillId="0" borderId="0" xfId="0"/>
    <xf numFmtId="0" fontId="9"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5" applyFill="1" applyBorder="1" applyAlignment="1">
      <alignment horizontal="center" vertical="center" wrapText="1"/>
    </xf>
    <xf numFmtId="0" fontId="6" fillId="9" borderId="1" xfId="0" applyFont="1" applyFill="1" applyBorder="1" applyAlignment="1">
      <alignment horizontal="center" vertical="center" wrapText="1"/>
    </xf>
    <xf numFmtId="0" fontId="17" fillId="0" borderId="0" xfId="0" applyFont="1" applyFill="1" applyBorder="1"/>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xf numFmtId="0" fontId="17" fillId="0" borderId="1" xfId="0" applyFont="1" applyFill="1" applyBorder="1" applyAlignment="1">
      <alignment horizontal="center" vertical="center"/>
    </xf>
    <xf numFmtId="0" fontId="17" fillId="13" borderId="1" xfId="0" applyFont="1" applyFill="1" applyBorder="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44" fontId="9" fillId="0" borderId="1" xfId="1" applyFont="1" applyFill="1" applyBorder="1" applyAlignment="1">
      <alignment horizontal="center" vertical="center" wrapText="1"/>
    </xf>
    <xf numFmtId="44" fontId="1" fillId="0" borderId="0" xfId="1" applyFont="1" applyFill="1" applyBorder="1" applyAlignment="1">
      <alignment horizontal="center" vertical="center"/>
    </xf>
    <xf numFmtId="0" fontId="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0" fillId="5" borderId="1" xfId="5" applyFill="1" applyBorder="1" applyAlignment="1">
      <alignment horizontal="center" vertical="center" wrapText="1"/>
    </xf>
    <xf numFmtId="0" fontId="9"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0" borderId="1" xfId="5" applyFill="1" applyBorder="1" applyAlignment="1">
      <alignment horizontal="center" vertical="center"/>
    </xf>
    <xf numFmtId="44" fontId="17" fillId="0" borderId="0"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6" fillId="16"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0" borderId="0" xfId="0" applyFont="1" applyFill="1" applyBorder="1"/>
    <xf numFmtId="0" fontId="6"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17"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0" borderId="0" xfId="0" applyAlignment="1">
      <alignment wrapText="1"/>
    </xf>
    <xf numFmtId="0" fontId="24" fillId="19" borderId="1" xfId="0" applyFont="1" applyFill="1" applyBorder="1" applyAlignment="1">
      <alignment horizontal="center" vertical="center" wrapText="1"/>
    </xf>
    <xf numFmtId="44" fontId="24" fillId="19"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5" fillId="20" borderId="4" xfId="0" applyFont="1" applyFill="1" applyBorder="1" applyAlignment="1">
      <alignment horizontal="center" vertical="center" wrapText="1"/>
    </xf>
    <xf numFmtId="0" fontId="26" fillId="17"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44" fontId="6" fillId="20" borderId="1" xfId="1" applyFont="1" applyFill="1" applyBorder="1" applyAlignment="1">
      <alignment horizontal="center" vertical="center" wrapText="1"/>
    </xf>
    <xf numFmtId="44" fontId="27" fillId="0" borderId="1" xfId="0" applyNumberFormat="1" applyFont="1" applyBorder="1"/>
    <xf numFmtId="0" fontId="0" fillId="21" borderId="0" xfId="0" applyFill="1" applyAlignment="1">
      <alignment wrapText="1"/>
    </xf>
    <xf numFmtId="44" fontId="0" fillId="21" borderId="0" xfId="0" applyNumberFormat="1" applyFill="1" applyAlignment="1">
      <alignment wrapText="1"/>
    </xf>
    <xf numFmtId="0" fontId="22" fillId="9" borderId="1"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17" borderId="0" xfId="0" applyFont="1" applyFill="1" applyBorder="1" applyAlignment="1">
      <alignment horizontal="center" vertical="center"/>
    </xf>
    <xf numFmtId="0" fontId="28" fillId="0" borderId="0" xfId="0" applyFont="1" applyFill="1" applyBorder="1" applyAlignment="1">
      <alignment vertical="center"/>
    </xf>
    <xf numFmtId="44" fontId="20" fillId="0" borderId="0" xfId="1" applyFont="1" applyFill="1" applyBorder="1" applyAlignment="1">
      <alignment vertical="center"/>
    </xf>
    <xf numFmtId="0" fontId="22" fillId="18"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3" borderId="1" xfId="0" applyFont="1" applyFill="1" applyBorder="1" applyAlignment="1">
      <alignment horizontal="center" vertical="center" wrapText="1"/>
    </xf>
    <xf numFmtId="0" fontId="17" fillId="24" borderId="4" xfId="0" applyFont="1" applyFill="1" applyBorder="1" applyAlignment="1">
      <alignment horizontal="center" vertical="center" wrapText="1"/>
    </xf>
    <xf numFmtId="0" fontId="9" fillId="24" borderId="4" xfId="0" applyFont="1" applyFill="1" applyBorder="1" applyAlignment="1">
      <alignment horizontal="center" vertical="center" wrapText="1"/>
    </xf>
    <xf numFmtId="0" fontId="9" fillId="18" borderId="4"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0" borderId="1" xfId="0" applyBorder="1" applyAlignment="1">
      <alignment horizontal="center" vertical="center" wrapText="1"/>
    </xf>
    <xf numFmtId="44" fontId="6" fillId="17" borderId="1" xfId="1" applyNumberFormat="1" applyFont="1" applyFill="1" applyBorder="1" applyAlignment="1">
      <alignment horizontal="center" vertical="center"/>
    </xf>
    <xf numFmtId="2" fontId="0" fillId="17" borderId="1" xfId="0" applyNumberFormat="1" applyFont="1" applyFill="1" applyBorder="1" applyAlignment="1">
      <alignment horizontal="center" vertical="center"/>
    </xf>
    <xf numFmtId="44" fontId="0" fillId="17" borderId="1" xfId="0" applyNumberFormat="1" applyFill="1" applyBorder="1" applyAlignment="1">
      <alignment vertical="center"/>
    </xf>
    <xf numFmtId="44" fontId="6" fillId="17" borderId="1" xfId="1" applyFont="1" applyFill="1" applyBorder="1" applyAlignment="1">
      <alignment horizontal="center" vertical="center"/>
    </xf>
    <xf numFmtId="44" fontId="0" fillId="17" borderId="1" xfId="1" applyFont="1" applyFill="1" applyBorder="1" applyAlignment="1">
      <alignment horizontal="center" vertical="center"/>
    </xf>
    <xf numFmtId="44" fontId="0" fillId="17" borderId="1" xfId="0" applyNumberFormat="1" applyFill="1" applyBorder="1" applyAlignment="1">
      <alignment horizontal="center" vertical="center"/>
    </xf>
    <xf numFmtId="44"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44" fontId="6" fillId="5"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1" xfId="0" applyNumberFormat="1" applyFill="1" applyBorder="1" applyAlignment="1">
      <alignment horizontal="center" vertical="center"/>
    </xf>
    <xf numFmtId="0" fontId="6" fillId="16" borderId="1" xfId="0"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1" xfId="0" applyFont="1" applyFill="1" applyBorder="1" applyAlignment="1">
      <alignment horizontal="center" vertical="center"/>
    </xf>
    <xf numFmtId="0" fontId="6" fillId="17" borderId="5" xfId="0" applyFont="1" applyFill="1" applyBorder="1" applyAlignment="1">
      <alignment horizontal="center" vertical="center" wrapText="1"/>
    </xf>
    <xf numFmtId="0" fontId="10" fillId="17" borderId="1" xfId="5" applyFill="1" applyBorder="1" applyAlignment="1">
      <alignment horizontal="center" vertical="center" wrapText="1"/>
    </xf>
    <xf numFmtId="0" fontId="17" fillId="18" borderId="1" xfId="0" applyFont="1" applyFill="1" applyBorder="1" applyAlignment="1">
      <alignment horizontal="center" vertical="center"/>
    </xf>
    <xf numFmtId="0" fontId="6" fillId="18" borderId="5"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0" fillId="18" borderId="1" xfId="5" applyFill="1" applyBorder="1" applyAlignment="1">
      <alignment horizontal="center" vertical="center" wrapText="1"/>
    </xf>
    <xf numFmtId="0" fontId="17" fillId="14" borderId="4" xfId="0" applyFont="1" applyFill="1" applyBorder="1" applyAlignment="1">
      <alignment horizontal="center" vertical="center" wrapText="1"/>
    </xf>
    <xf numFmtId="0" fontId="6" fillId="9" borderId="1" xfId="0" applyFont="1" applyFill="1" applyBorder="1" applyAlignment="1">
      <alignment horizontal="center" vertical="center"/>
    </xf>
    <xf numFmtId="0" fontId="10" fillId="9" borderId="1" xfId="5" applyFill="1" applyBorder="1" applyAlignment="1">
      <alignment horizontal="center" vertical="center" wrapText="1"/>
    </xf>
    <xf numFmtId="0" fontId="6" fillId="9"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6" fillId="9" borderId="1" xfId="6" applyNumberFormat="1" applyFont="1" applyFill="1" applyBorder="1" applyAlignment="1">
      <alignment horizontal="center" vertical="center" wrapText="1"/>
    </xf>
    <xf numFmtId="0" fontId="9" fillId="9" borderId="1" xfId="0" applyFont="1" applyFill="1" applyBorder="1" applyAlignment="1">
      <alignment horizontal="center" vertical="center"/>
    </xf>
    <xf numFmtId="0" fontId="6" fillId="5" borderId="1" xfId="6" applyNumberFormat="1" applyFont="1" applyFill="1" applyBorder="1" applyAlignment="1">
      <alignment horizontal="center" vertical="center" wrapText="1"/>
    </xf>
    <xf numFmtId="0" fontId="6" fillId="25" borderId="1" xfId="0" applyFont="1" applyFill="1" applyBorder="1" applyAlignment="1">
      <alignment horizontal="center" vertical="center" wrapText="1"/>
    </xf>
    <xf numFmtId="0" fontId="9" fillId="25" borderId="1" xfId="0" applyFont="1" applyFill="1" applyBorder="1" applyAlignment="1">
      <alignment horizontal="center" vertical="center" wrapText="1"/>
    </xf>
    <xf numFmtId="0" fontId="6" fillId="25" borderId="5" xfId="0" applyFont="1" applyFill="1" applyBorder="1" applyAlignment="1">
      <alignment horizontal="center" vertical="center" wrapText="1"/>
    </xf>
    <xf numFmtId="0" fontId="17" fillId="25" borderId="1" xfId="0" applyFont="1" applyFill="1" applyBorder="1" applyAlignment="1">
      <alignment horizontal="center" vertical="center" wrapText="1"/>
    </xf>
    <xf numFmtId="0" fontId="10" fillId="25" borderId="1" xfId="5" applyFill="1" applyBorder="1" applyAlignment="1">
      <alignment horizontal="center" vertical="center" wrapText="1"/>
    </xf>
    <xf numFmtId="0" fontId="17" fillId="5" borderId="2" xfId="0" applyFont="1" applyFill="1" applyBorder="1" applyAlignment="1">
      <alignment horizontal="center" vertical="center"/>
    </xf>
    <xf numFmtId="0" fontId="6" fillId="18" borderId="1" xfId="6"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6" fillId="16" borderId="1" xfId="6" applyNumberFormat="1" applyFont="1" applyFill="1" applyBorder="1" applyAlignment="1">
      <alignment horizontal="center" vertical="center" wrapText="1"/>
    </xf>
    <xf numFmtId="0" fontId="17" fillId="16" borderId="0" xfId="0" applyFont="1" applyFill="1" applyBorder="1" applyAlignment="1">
      <alignment horizontal="center" vertical="center"/>
    </xf>
    <xf numFmtId="0" fontId="17" fillId="26" borderId="1" xfId="0" applyFont="1" applyFill="1" applyBorder="1" applyAlignment="1">
      <alignment horizontal="center" vertical="center" wrapText="1"/>
    </xf>
    <xf numFmtId="0" fontId="27" fillId="0" borderId="1" xfId="0" applyFont="1" applyBorder="1" applyAlignment="1">
      <alignment horizontal="center" vertical="center" wrapText="1"/>
    </xf>
    <xf numFmtId="44" fontId="27" fillId="0" borderId="1" xfId="1" applyFont="1" applyBorder="1" applyAlignment="1">
      <alignment horizontal="center" vertical="center" wrapText="1"/>
    </xf>
    <xf numFmtId="44" fontId="27" fillId="0" borderId="1" xfId="1" applyFont="1" applyBorder="1" applyAlignment="1">
      <alignment horizontal="center" vertical="center"/>
    </xf>
    <xf numFmtId="0" fontId="27" fillId="22" borderId="1" xfId="0" applyFont="1" applyFill="1" applyBorder="1" applyAlignment="1">
      <alignment horizontal="center" vertical="center" wrapText="1"/>
    </xf>
    <xf numFmtId="44" fontId="3" fillId="22" borderId="1" xfId="1" applyFont="1" applyFill="1" applyBorder="1" applyAlignment="1">
      <alignment horizontal="center" vertical="center" wrapText="1"/>
    </xf>
    <xf numFmtId="44" fontId="3" fillId="22" borderId="1" xfId="1" applyFont="1" applyFill="1" applyBorder="1" applyAlignment="1">
      <alignment horizontal="center" vertical="center"/>
    </xf>
    <xf numFmtId="0" fontId="3" fillId="22" borderId="1"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0" fillId="17" borderId="1" xfId="0" applyFill="1" applyBorder="1" applyAlignment="1">
      <alignment horizontal="center" wrapText="1"/>
    </xf>
    <xf numFmtId="0" fontId="0" fillId="5" borderId="1" xfId="0" applyFill="1" applyBorder="1" applyAlignment="1">
      <alignment wrapText="1"/>
    </xf>
    <xf numFmtId="0" fontId="27" fillId="16" borderId="1" xfId="0" applyFont="1" applyFill="1" applyBorder="1" applyAlignment="1">
      <alignment horizontal="center" vertical="center" wrapText="1"/>
    </xf>
    <xf numFmtId="44" fontId="27" fillId="16" borderId="1" xfId="1" applyFont="1" applyFill="1" applyBorder="1" applyAlignment="1">
      <alignment horizontal="center" vertical="center" wrapText="1"/>
    </xf>
    <xf numFmtId="44" fontId="27" fillId="16" borderId="1" xfId="1" applyFont="1" applyFill="1" applyBorder="1" applyAlignment="1">
      <alignment horizontal="center" vertical="center"/>
    </xf>
    <xf numFmtId="44" fontId="0" fillId="0" borderId="0" xfId="1" applyFont="1"/>
    <xf numFmtId="9" fontId="0" fillId="16" borderId="0" xfId="0" applyNumberFormat="1" applyFill="1" applyAlignment="1">
      <alignment horizontal="center" vertical="center"/>
    </xf>
    <xf numFmtId="44" fontId="0" fillId="0" borderId="1" xfId="0" applyNumberFormat="1" applyBorder="1"/>
    <xf numFmtId="0" fontId="3" fillId="22" borderId="0" xfId="0" applyFont="1" applyFill="1" applyAlignment="1">
      <alignment horizontal="center" vertical="center" wrapText="1"/>
    </xf>
    <xf numFmtId="42" fontId="3" fillId="22" borderId="0" xfId="0" applyNumberFormat="1" applyFont="1" applyFill="1" applyAlignment="1">
      <alignment horizontal="center" vertical="center" wrapText="1"/>
    </xf>
    <xf numFmtId="44" fontId="3" fillId="22" borderId="0" xfId="0" applyNumberFormat="1" applyFont="1" applyFill="1" applyAlignment="1">
      <alignment horizontal="center" vertical="center" wrapText="1"/>
    </xf>
    <xf numFmtId="0" fontId="6" fillId="10" borderId="5"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21" fillId="10" borderId="1" xfId="5" applyFont="1" applyFill="1" applyBorder="1" applyAlignment="1">
      <alignment horizontal="center" vertical="center" wrapText="1"/>
    </xf>
    <xf numFmtId="0" fontId="17" fillId="27" borderId="1" xfId="0" applyFont="1" applyFill="1" applyBorder="1" applyAlignment="1">
      <alignment horizontal="center" vertical="center" wrapText="1"/>
    </xf>
    <xf numFmtId="0" fontId="9" fillId="27" borderId="1" xfId="0" applyFont="1" applyFill="1" applyBorder="1" applyAlignment="1">
      <alignment horizontal="center" vertical="center" wrapText="1"/>
    </xf>
    <xf numFmtId="44" fontId="6" fillId="9" borderId="1" xfId="1" applyFont="1" applyFill="1" applyBorder="1" applyAlignment="1">
      <alignment horizontal="center" vertical="center" wrapText="1"/>
    </xf>
    <xf numFmtId="0" fontId="17" fillId="28" borderId="1" xfId="0" applyFont="1" applyFill="1" applyBorder="1" applyAlignment="1">
      <alignment horizontal="center" vertical="center" wrapText="1"/>
    </xf>
    <xf numFmtId="0" fontId="9" fillId="18" borderId="2" xfId="3" applyFont="1" applyFill="1" applyBorder="1" applyAlignment="1" applyProtection="1">
      <alignment horizontal="center" vertical="center" wrapText="1"/>
    </xf>
    <xf numFmtId="44" fontId="22" fillId="18" borderId="1" xfId="1" applyFont="1" applyFill="1" applyBorder="1" applyAlignment="1">
      <alignment horizontal="center" vertical="center"/>
    </xf>
    <xf numFmtId="44" fontId="17" fillId="0" borderId="0" xfId="1" applyFont="1" applyFill="1" applyBorder="1" applyAlignment="1">
      <alignment horizontal="center" vertical="center"/>
    </xf>
    <xf numFmtId="44" fontId="17" fillId="5" borderId="1" xfId="1" applyFont="1" applyFill="1" applyBorder="1" applyAlignment="1">
      <alignment horizontal="center" vertical="center"/>
    </xf>
    <xf numFmtId="44" fontId="6" fillId="5" borderId="1" xfId="1" applyFont="1" applyFill="1" applyBorder="1" applyAlignment="1">
      <alignment horizontal="center" vertical="center" wrapText="1"/>
    </xf>
    <xf numFmtId="44" fontId="17" fillId="18" borderId="1" xfId="1" applyFont="1" applyFill="1" applyBorder="1" applyAlignment="1">
      <alignment horizontal="center" vertical="center"/>
    </xf>
    <xf numFmtId="44" fontId="17" fillId="0" borderId="1" xfId="1" applyFont="1" applyFill="1" applyBorder="1" applyAlignment="1">
      <alignment horizontal="center" vertical="center"/>
    </xf>
    <xf numFmtId="44" fontId="17" fillId="5" borderId="2" xfId="1" applyFont="1" applyFill="1" applyBorder="1" applyAlignment="1">
      <alignment horizontal="center" vertical="center"/>
    </xf>
    <xf numFmtId="44" fontId="6" fillId="0" borderId="1" xfId="1" applyFont="1" applyFill="1" applyBorder="1" applyAlignment="1">
      <alignment horizontal="center" vertical="center"/>
    </xf>
    <xf numFmtId="44" fontId="6" fillId="16" borderId="1" xfId="1" applyFont="1" applyFill="1" applyBorder="1" applyAlignment="1">
      <alignment horizontal="center" vertical="center"/>
    </xf>
    <xf numFmtId="44" fontId="9" fillId="16"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44" fontId="17" fillId="0" borderId="1" xfId="1" applyFont="1" applyFill="1" applyBorder="1" applyAlignment="1">
      <alignment horizontal="center" vertical="center" wrapText="1"/>
    </xf>
    <xf numFmtId="44" fontId="9" fillId="18" borderId="2" xfId="1" applyFont="1" applyFill="1" applyBorder="1" applyAlignment="1" applyProtection="1">
      <alignment horizontal="center" vertical="center" wrapText="1"/>
    </xf>
    <xf numFmtId="44" fontId="6" fillId="0" borderId="1" xfId="1" applyFont="1" applyFill="1" applyBorder="1" applyAlignment="1">
      <alignment horizontal="center" vertical="center" wrapText="1"/>
    </xf>
    <xf numFmtId="44" fontId="6" fillId="18" borderId="1" xfId="1" applyFont="1" applyFill="1" applyBorder="1" applyAlignment="1">
      <alignment horizontal="center" vertical="center" wrapText="1"/>
    </xf>
    <xf numFmtId="44" fontId="6" fillId="25" borderId="1" xfId="1" applyFont="1" applyFill="1" applyBorder="1" applyAlignment="1">
      <alignment horizontal="center" vertical="center" wrapText="1"/>
    </xf>
    <xf numFmtId="44" fontId="6" fillId="17" borderId="1" xfId="1" applyFont="1" applyFill="1" applyBorder="1" applyAlignment="1">
      <alignment horizontal="center" vertical="center" wrapText="1"/>
    </xf>
    <xf numFmtId="44" fontId="6" fillId="10" borderId="1" xfId="1"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29" fillId="0" borderId="0" xfId="6" applyNumberFormat="1" applyFont="1" applyFill="1" applyBorder="1" applyAlignment="1">
      <alignment horizontal="center" vertical="center" wrapText="1"/>
    </xf>
    <xf numFmtId="0" fontId="29" fillId="0" borderId="3" xfId="6" applyNumberFormat="1" applyFont="1" applyBorder="1" applyAlignment="1">
      <alignment horizontal="center" vertical="center" wrapText="1"/>
    </xf>
    <xf numFmtId="0" fontId="17"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17" fillId="24" borderId="8"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5"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0" fillId="6" borderId="1" xfId="5" applyFill="1" applyBorder="1" applyAlignment="1">
      <alignment horizontal="center" vertical="center" wrapText="1"/>
    </xf>
    <xf numFmtId="0" fontId="6" fillId="6" borderId="1" xfId="6" applyNumberFormat="1" applyFont="1" applyFill="1" applyBorder="1" applyAlignment="1">
      <alignment horizontal="center" vertical="center" wrapText="1"/>
    </xf>
    <xf numFmtId="44" fontId="6" fillId="6" borderId="1" xfId="1" applyFont="1" applyFill="1" applyBorder="1" applyAlignment="1">
      <alignment horizontal="center" vertical="center" wrapText="1"/>
    </xf>
    <xf numFmtId="0" fontId="28" fillId="0" borderId="0" xfId="0" applyFont="1" applyFill="1" applyBorder="1" applyAlignment="1">
      <alignment horizontal="center" vertical="center" wrapText="1"/>
    </xf>
    <xf numFmtId="44" fontId="30" fillId="0" borderId="0" xfId="1" applyFont="1" applyFill="1" applyBorder="1" applyAlignment="1">
      <alignment vertical="center" wrapText="1"/>
    </xf>
    <xf numFmtId="44" fontId="17" fillId="0" borderId="0" xfId="0" applyNumberFormat="1" applyFont="1" applyFill="1" applyBorder="1" applyAlignment="1">
      <alignment vertical="center" wrapText="1"/>
    </xf>
    <xf numFmtId="0" fontId="28" fillId="0" borderId="0" xfId="0" applyFont="1" applyFill="1" applyBorder="1" applyAlignment="1">
      <alignment vertical="center" wrapText="1"/>
    </xf>
    <xf numFmtId="44" fontId="28" fillId="0" borderId="0" xfId="0" applyNumberFormat="1" applyFont="1" applyFill="1" applyBorder="1" applyAlignment="1">
      <alignment vertical="center"/>
    </xf>
    <xf numFmtId="44" fontId="28" fillId="0" borderId="0" xfId="1" applyFont="1" applyFill="1" applyBorder="1" applyAlignment="1">
      <alignment vertical="center"/>
    </xf>
    <xf numFmtId="44" fontId="28" fillId="0" borderId="0" xfId="1" applyFont="1" applyFill="1" applyBorder="1" applyAlignment="1">
      <alignment horizontal="center" vertical="center"/>
    </xf>
    <xf numFmtId="0" fontId="9" fillId="15" borderId="7"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17" fillId="15" borderId="1" xfId="0" applyFont="1" applyFill="1" applyBorder="1" applyAlignment="1">
      <alignment horizontal="center" vertical="center"/>
    </xf>
    <xf numFmtId="44" fontId="17" fillId="15" borderId="1" xfId="1" applyFont="1" applyFill="1" applyBorder="1" applyAlignment="1">
      <alignment horizontal="center" vertical="center"/>
    </xf>
    <xf numFmtId="44" fontId="9" fillId="15" borderId="1" xfId="1" applyFont="1" applyFill="1" applyBorder="1" applyAlignment="1">
      <alignment horizontal="center" vertical="center"/>
    </xf>
    <xf numFmtId="44" fontId="6" fillId="15" borderId="1" xfId="1" applyFont="1" applyFill="1" applyBorder="1" applyAlignment="1">
      <alignment horizontal="center" vertical="center" wrapText="1"/>
    </xf>
    <xf numFmtId="0" fontId="6" fillId="15" borderId="1" xfId="0" applyFont="1" applyFill="1" applyBorder="1" applyAlignment="1">
      <alignment horizontal="center" vertical="center" wrapText="1"/>
    </xf>
    <xf numFmtId="44" fontId="9" fillId="15" borderId="1" xfId="1" applyFont="1" applyFill="1" applyBorder="1" applyAlignment="1">
      <alignment horizontal="center" vertical="center" wrapText="1"/>
    </xf>
    <xf numFmtId="0" fontId="17" fillId="15" borderId="4" xfId="0" applyFont="1" applyFill="1" applyBorder="1" applyAlignment="1">
      <alignment horizontal="center" vertical="center" wrapText="1"/>
    </xf>
    <xf numFmtId="0" fontId="22" fillId="0" borderId="0" xfId="0" applyFont="1" applyFill="1" applyBorder="1" applyAlignment="1">
      <alignment vertical="center"/>
    </xf>
    <xf numFmtId="0" fontId="17" fillId="31" borderId="1" xfId="0" applyFont="1" applyFill="1" applyBorder="1" applyAlignment="1">
      <alignment horizontal="center" vertical="center"/>
    </xf>
    <xf numFmtId="44" fontId="6" fillId="31" borderId="1" xfId="1" applyFont="1" applyFill="1" applyBorder="1" applyAlignment="1">
      <alignment horizontal="center" vertical="center" wrapText="1"/>
    </xf>
    <xf numFmtId="44" fontId="16" fillId="0" borderId="0" xfId="1" applyFont="1" applyFill="1" applyBorder="1"/>
    <xf numFmtId="44" fontId="16" fillId="0" borderId="0" xfId="0" applyNumberFormat="1" applyFont="1" applyFill="1" applyBorder="1"/>
    <xf numFmtId="0" fontId="9" fillId="31" borderId="1" xfId="0" applyFont="1" applyFill="1" applyBorder="1" applyAlignment="1">
      <alignment horizontal="center" vertical="center" wrapText="1"/>
    </xf>
    <xf numFmtId="0" fontId="6" fillId="31" borderId="1" xfId="1" applyNumberFormat="1" applyFont="1" applyFill="1" applyBorder="1" applyAlignment="1">
      <alignment horizontal="center" vertical="center"/>
    </xf>
    <xf numFmtId="41" fontId="17" fillId="31" borderId="1" xfId="9" applyFont="1" applyFill="1" applyBorder="1" applyAlignment="1">
      <alignment horizontal="center" vertical="center"/>
    </xf>
    <xf numFmtId="1" fontId="6" fillId="31" borderId="1" xfId="1" applyNumberFormat="1" applyFont="1" applyFill="1" applyBorder="1" applyAlignment="1">
      <alignment horizontal="center" vertical="center"/>
    </xf>
    <xf numFmtId="41" fontId="6" fillId="31" borderId="1" xfId="9" applyFont="1" applyFill="1" applyBorder="1" applyAlignment="1">
      <alignment horizontal="center" vertical="center" wrapText="1"/>
    </xf>
    <xf numFmtId="166" fontId="17" fillId="0" borderId="0" xfId="9" applyNumberFormat="1" applyFont="1" applyFill="1" applyBorder="1" applyAlignment="1">
      <alignment vertical="center"/>
    </xf>
    <xf numFmtId="0" fontId="6" fillId="31"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4" fontId="33" fillId="0" borderId="1" xfId="1" applyFont="1" applyFill="1" applyBorder="1" applyAlignment="1">
      <alignment vertical="center" wrapText="1"/>
    </xf>
    <xf numFmtId="44" fontId="22" fillId="0" borderId="1" xfId="0" applyNumberFormat="1" applyFont="1" applyFill="1" applyBorder="1" applyAlignment="1">
      <alignment vertical="center" wrapText="1"/>
    </xf>
    <xf numFmtId="44" fontId="22" fillId="0" borderId="1" xfId="0" applyNumberFormat="1" applyFont="1" applyFill="1" applyBorder="1" applyAlignment="1">
      <alignment vertical="center"/>
    </xf>
    <xf numFmtId="0" fontId="22" fillId="0" borderId="1" xfId="0" applyFont="1" applyFill="1" applyBorder="1" applyAlignment="1">
      <alignment vertical="center" wrapText="1"/>
    </xf>
    <xf numFmtId="165" fontId="22" fillId="0" borderId="1" xfId="1" applyNumberFormat="1" applyFont="1" applyFill="1" applyBorder="1" applyAlignment="1">
      <alignment vertical="center"/>
    </xf>
    <xf numFmtId="44" fontId="22" fillId="0" borderId="1" xfId="0" applyNumberFormat="1" applyFont="1" applyFill="1" applyBorder="1" applyAlignment="1">
      <alignment horizontal="center" vertical="center"/>
    </xf>
    <xf numFmtId="44" fontId="22" fillId="0" borderId="1" xfId="1" applyFont="1" applyFill="1" applyBorder="1" applyAlignment="1">
      <alignment horizontal="center" vertical="center"/>
    </xf>
    <xf numFmtId="44" fontId="22" fillId="0" borderId="0" xfId="0" applyNumberFormat="1" applyFont="1" applyFill="1" applyBorder="1" applyAlignment="1">
      <alignment vertical="center"/>
    </xf>
    <xf numFmtId="44" fontId="1" fillId="0" borderId="0" xfId="1" applyFont="1" applyFill="1" applyBorder="1" applyAlignment="1">
      <alignment vertical="center"/>
    </xf>
    <xf numFmtId="44" fontId="17" fillId="31" borderId="5" xfId="0" applyNumberFormat="1" applyFont="1" applyFill="1" applyBorder="1" applyAlignment="1">
      <alignment horizontal="center" vertical="center"/>
    </xf>
    <xf numFmtId="166" fontId="17" fillId="31" borderId="1" xfId="9" applyNumberFormat="1" applyFont="1" applyFill="1" applyBorder="1" applyAlignment="1">
      <alignment horizontal="center" vertical="center"/>
    </xf>
    <xf numFmtId="166" fontId="17" fillId="31" borderId="5" xfId="9" applyNumberFormat="1" applyFont="1" applyFill="1" applyBorder="1" applyAlignment="1">
      <alignment horizontal="center" vertical="center"/>
    </xf>
    <xf numFmtId="41" fontId="17" fillId="31" borderId="5" xfId="9" applyFont="1" applyFill="1" applyBorder="1" applyAlignment="1">
      <alignment horizontal="center" vertical="center"/>
    </xf>
    <xf numFmtId="0" fontId="34" fillId="31" borderId="1" xfId="0" applyFont="1" applyFill="1" applyBorder="1" applyAlignment="1">
      <alignment horizontal="center" vertical="center" wrapText="1"/>
    </xf>
    <xf numFmtId="41" fontId="16" fillId="31" borderId="1" xfId="9" applyFont="1" applyFill="1" applyBorder="1" applyAlignment="1">
      <alignment horizontal="center" vertical="center"/>
    </xf>
    <xf numFmtId="44" fontId="16" fillId="31" borderId="5" xfId="0" applyNumberFormat="1" applyFont="1" applyFill="1" applyBorder="1" applyAlignment="1">
      <alignment horizontal="center" vertical="center"/>
    </xf>
    <xf numFmtId="0" fontId="9" fillId="31" borderId="1" xfId="0" applyFont="1" applyFill="1" applyBorder="1" applyAlignment="1">
      <alignment horizontal="center" vertical="center"/>
    </xf>
    <xf numFmtId="44" fontId="9" fillId="31" borderId="5" xfId="0" applyNumberFormat="1" applyFont="1" applyFill="1" applyBorder="1" applyAlignment="1">
      <alignment horizontal="center" vertical="center"/>
    </xf>
    <xf numFmtId="0" fontId="16" fillId="31" borderId="1" xfId="0" applyFont="1" applyFill="1" applyBorder="1" applyAlignment="1">
      <alignment horizontal="center" vertical="center"/>
    </xf>
    <xf numFmtId="41" fontId="35" fillId="31" borderId="1" xfId="9" applyFont="1" applyFill="1" applyBorder="1" applyAlignment="1">
      <alignment horizontal="center" vertical="center" wrapText="1"/>
    </xf>
    <xf numFmtId="166" fontId="22" fillId="31" borderId="1" xfId="9" applyNumberFormat="1" applyFont="1" applyFill="1" applyBorder="1" applyAlignment="1">
      <alignment horizontal="center" vertical="center"/>
    </xf>
    <xf numFmtId="44" fontId="22" fillId="31" borderId="5" xfId="0" applyNumberFormat="1" applyFont="1" applyFill="1" applyBorder="1" applyAlignment="1">
      <alignment horizontal="center" vertical="center"/>
    </xf>
    <xf numFmtId="0" fontId="17" fillId="31" borderId="1" xfId="0" applyFont="1" applyFill="1" applyBorder="1" applyAlignment="1">
      <alignment horizontal="center" vertical="center" wrapText="1"/>
    </xf>
    <xf numFmtId="41" fontId="22" fillId="0" borderId="0" xfId="9" applyFont="1" applyFill="1" applyBorder="1" applyAlignment="1">
      <alignment vertical="center"/>
    </xf>
    <xf numFmtId="41" fontId="28" fillId="0" borderId="0" xfId="9" applyFont="1" applyFill="1" applyBorder="1" applyAlignment="1">
      <alignment vertical="center"/>
    </xf>
    <xf numFmtId="41" fontId="17" fillId="0" borderId="0" xfId="9" applyFont="1" applyFill="1" applyBorder="1" applyAlignment="1">
      <alignment vertical="center"/>
    </xf>
    <xf numFmtId="166" fontId="6" fillId="31" borderId="1" xfId="9" applyNumberFormat="1" applyFont="1" applyFill="1" applyBorder="1" applyAlignment="1">
      <alignment horizontal="center" vertical="center" wrapText="1"/>
    </xf>
    <xf numFmtId="44" fontId="17" fillId="34" borderId="5" xfId="0" applyNumberFormat="1" applyFont="1" applyFill="1" applyBorder="1" applyAlignment="1">
      <alignment horizontal="center" vertical="center"/>
    </xf>
    <xf numFmtId="0" fontId="17" fillId="34" borderId="1" xfId="0" applyFont="1" applyFill="1" applyBorder="1" applyAlignment="1">
      <alignment horizontal="center" vertical="center"/>
    </xf>
    <xf numFmtId="41" fontId="17" fillId="34" borderId="1" xfId="9" applyFont="1" applyFill="1" applyBorder="1" applyAlignment="1">
      <alignment horizontal="center" vertical="center"/>
    </xf>
    <xf numFmtId="0" fontId="17" fillId="34" borderId="1" xfId="0" applyFont="1" applyFill="1" applyBorder="1"/>
    <xf numFmtId="0" fontId="9" fillId="34" borderId="1" xfId="0" applyFont="1" applyFill="1" applyBorder="1" applyAlignment="1">
      <alignment horizontal="center" vertical="center" wrapText="1"/>
    </xf>
    <xf numFmtId="0" fontId="6" fillId="34" borderId="1" xfId="0" applyFont="1" applyFill="1" applyBorder="1" applyAlignment="1">
      <alignment horizontal="center" vertical="center"/>
    </xf>
    <xf numFmtId="44" fontId="6" fillId="34" borderId="1" xfId="1" applyFont="1" applyFill="1" applyBorder="1" applyAlignment="1">
      <alignment horizontal="center" vertical="center"/>
    </xf>
    <xf numFmtId="44" fontId="19" fillId="34" borderId="1" xfId="1" applyFont="1" applyFill="1" applyBorder="1" applyAlignment="1">
      <alignment horizontal="center" vertical="center"/>
    </xf>
    <xf numFmtId="41" fontId="6" fillId="34" borderId="1" xfId="9" applyFont="1" applyFill="1" applyBorder="1" applyAlignment="1">
      <alignment horizontal="center" vertical="center" wrapText="1"/>
    </xf>
    <xf numFmtId="44" fontId="6" fillId="34" borderId="1" xfId="1" applyFont="1" applyFill="1" applyBorder="1" applyAlignment="1">
      <alignment horizontal="center" vertical="center" wrapText="1"/>
    </xf>
    <xf numFmtId="0" fontId="1" fillId="0" borderId="0" xfId="0" applyFont="1" applyFill="1" applyBorder="1"/>
    <xf numFmtId="44" fontId="1" fillId="0" borderId="0" xfId="0" applyNumberFormat="1" applyFont="1" applyFill="1" applyBorder="1"/>
    <xf numFmtId="0" fontId="1" fillId="0" borderId="0" xfId="0" applyFont="1" applyFill="1" applyBorder="1" applyAlignment="1">
      <alignment vertical="center"/>
    </xf>
    <xf numFmtId="44" fontId="1" fillId="0" borderId="0" xfId="0" applyNumberFormat="1" applyFont="1" applyFill="1" applyBorder="1" applyAlignment="1">
      <alignment vertical="center"/>
    </xf>
    <xf numFmtId="0" fontId="20" fillId="0" borderId="0" xfId="0" applyFont="1" applyFill="1" applyBorder="1" applyAlignment="1">
      <alignment vertical="center"/>
    </xf>
    <xf numFmtId="44" fontId="20" fillId="0" borderId="0" xfId="0" applyNumberFormat="1" applyFont="1" applyFill="1" applyBorder="1" applyAlignment="1">
      <alignment vertical="center"/>
    </xf>
    <xf numFmtId="44" fontId="9" fillId="34" borderId="5" xfId="0" applyNumberFormat="1" applyFont="1" applyFill="1" applyBorder="1" applyAlignment="1">
      <alignment horizontal="center" vertical="center"/>
    </xf>
    <xf numFmtId="1" fontId="9" fillId="32" borderId="11" xfId="0" applyNumberFormat="1" applyFont="1" applyFill="1" applyBorder="1" applyAlignment="1">
      <alignment horizontal="center" vertical="center" wrapText="1"/>
    </xf>
    <xf numFmtId="14" fontId="9" fillId="32" borderId="11" xfId="0" applyNumberFormat="1" applyFont="1" applyFill="1" applyBorder="1" applyAlignment="1">
      <alignment horizontal="center" vertical="center" wrapText="1"/>
    </xf>
    <xf numFmtId="166" fontId="9" fillId="32" borderId="11" xfId="9" applyNumberFormat="1" applyFont="1" applyFill="1" applyBorder="1" applyAlignment="1">
      <alignment horizontal="center" vertical="center" wrapText="1"/>
    </xf>
    <xf numFmtId="44" fontId="9" fillId="32" borderId="5" xfId="0" applyNumberFormat="1" applyFont="1" applyFill="1" applyBorder="1" applyAlignment="1">
      <alignment horizontal="center" vertical="center"/>
    </xf>
    <xf numFmtId="0" fontId="9" fillId="32" borderId="1" xfId="0" applyFont="1" applyFill="1" applyBorder="1" applyAlignment="1">
      <alignment horizontal="center" vertical="center"/>
    </xf>
    <xf numFmtId="49" fontId="9" fillId="32" borderId="11" xfId="0" applyNumberFormat="1" applyFont="1" applyFill="1" applyBorder="1" applyAlignment="1">
      <alignment horizontal="center" vertical="center" wrapText="1"/>
    </xf>
    <xf numFmtId="0" fontId="9" fillId="34" borderId="1" xfId="0" applyFont="1" applyFill="1" applyBorder="1" applyAlignment="1">
      <alignment horizontal="center" vertical="center"/>
    </xf>
    <xf numFmtId="14" fontId="9" fillId="32" borderId="1" xfId="0" applyNumberFormat="1" applyFont="1" applyFill="1" applyBorder="1" applyAlignment="1">
      <alignment horizontal="center" vertical="center"/>
    </xf>
    <xf numFmtId="0" fontId="9" fillId="32" borderId="1" xfId="0" applyFont="1" applyFill="1" applyBorder="1" applyAlignment="1">
      <alignment horizontal="center" vertical="center" wrapText="1"/>
    </xf>
    <xf numFmtId="166" fontId="9" fillId="32" borderId="1" xfId="9" applyNumberFormat="1" applyFont="1" applyFill="1" applyBorder="1" applyAlignment="1">
      <alignment horizontal="center" vertical="center"/>
    </xf>
    <xf numFmtId="41" fontId="9" fillId="32" borderId="1" xfId="9" applyFont="1" applyFill="1" applyBorder="1" applyAlignment="1">
      <alignment horizontal="center" vertical="center"/>
    </xf>
    <xf numFmtId="44" fontId="9" fillId="32" borderId="1" xfId="1" applyFont="1" applyFill="1" applyBorder="1" applyAlignment="1">
      <alignment horizontal="center" vertical="center" wrapText="1"/>
    </xf>
    <xf numFmtId="44" fontId="9" fillId="32" borderId="5" xfId="0" applyNumberFormat="1" applyFont="1" applyFill="1" applyBorder="1" applyAlignment="1">
      <alignment horizontal="center" vertical="center" wrapText="1"/>
    </xf>
    <xf numFmtId="49" fontId="9" fillId="32"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1" fontId="9" fillId="32" borderId="1" xfId="9" applyFont="1" applyFill="1" applyBorder="1" applyAlignment="1">
      <alignment horizontal="center" vertical="center" wrapText="1"/>
    </xf>
    <xf numFmtId="166" fontId="9" fillId="32" borderId="1" xfId="9" applyNumberFormat="1" applyFont="1" applyFill="1" applyBorder="1" applyAlignment="1">
      <alignment horizontal="center" vertical="center" wrapText="1"/>
    </xf>
    <xf numFmtId="166" fontId="9" fillId="34" borderId="1" xfId="9" applyNumberFormat="1" applyFont="1" applyFill="1" applyBorder="1" applyAlignment="1">
      <alignment horizontal="center" vertical="center" wrapText="1"/>
    </xf>
    <xf numFmtId="14" fontId="9" fillId="32" borderId="1" xfId="0" applyNumberFormat="1" applyFont="1" applyFill="1" applyBorder="1" applyAlignment="1">
      <alignment horizontal="center" vertical="center" wrapText="1"/>
    </xf>
    <xf numFmtId="1" fontId="9" fillId="32" borderId="1" xfId="9" applyNumberFormat="1" applyFont="1" applyFill="1" applyBorder="1" applyAlignment="1">
      <alignment horizontal="center" vertical="center"/>
    </xf>
    <xf numFmtId="44" fontId="9" fillId="32" borderId="1" xfId="0" applyNumberFormat="1" applyFont="1" applyFill="1" applyBorder="1" applyAlignment="1">
      <alignment horizontal="center" vertical="center"/>
    </xf>
    <xf numFmtId="14" fontId="9" fillId="32" borderId="1" xfId="8" applyNumberFormat="1" applyFont="1" applyFill="1" applyBorder="1" applyAlignment="1">
      <alignment horizontal="center" vertical="center" wrapText="1"/>
    </xf>
    <xf numFmtId="0" fontId="9" fillId="0" borderId="0" xfId="0" applyFont="1" applyFill="1" applyBorder="1"/>
    <xf numFmtId="44" fontId="9" fillId="0" borderId="0" xfId="0" applyNumberFormat="1" applyFont="1" applyFill="1" applyBorder="1"/>
    <xf numFmtId="0" fontId="9" fillId="0" borderId="0" xfId="0" applyFont="1" applyFill="1" applyBorder="1" applyAlignment="1">
      <alignment wrapText="1"/>
    </xf>
    <xf numFmtId="166" fontId="9" fillId="0" borderId="0" xfId="9" applyNumberFormat="1" applyFont="1" applyFill="1" applyBorder="1" applyAlignment="1">
      <alignment vertical="center"/>
    </xf>
    <xf numFmtId="44" fontId="17" fillId="18" borderId="1" xfId="1"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7" fillId="0" borderId="6" xfId="0" applyFont="1" applyFill="1" applyBorder="1" applyAlignment="1">
      <alignment horizontal="center" vertical="center"/>
    </xf>
    <xf numFmtId="44" fontId="17" fillId="0" borderId="6" xfId="1"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5" applyFill="1" applyBorder="1" applyAlignment="1">
      <alignment horizontal="center" vertical="center" wrapText="1"/>
    </xf>
    <xf numFmtId="44" fontId="6" fillId="0" borderId="6" xfId="1" applyFont="1" applyFill="1" applyBorder="1" applyAlignment="1">
      <alignment horizontal="center" vertical="center" wrapText="1"/>
    </xf>
    <xf numFmtId="0" fontId="6" fillId="9" borderId="6" xfId="0" applyFont="1" applyFill="1" applyBorder="1" applyAlignment="1">
      <alignment horizontal="center" vertical="center" wrapText="1"/>
    </xf>
    <xf numFmtId="0" fontId="29" fillId="0" borderId="3" xfId="6" applyNumberFormat="1" applyFont="1" applyFill="1" applyBorder="1" applyAlignment="1">
      <alignment horizontal="center" vertical="center" wrapText="1"/>
    </xf>
    <xf numFmtId="0" fontId="29" fillId="0" borderId="1" xfId="6" applyNumberFormat="1" applyFont="1" applyFill="1" applyBorder="1" applyAlignment="1">
      <alignment horizontal="center" vertical="center" wrapText="1"/>
    </xf>
    <xf numFmtId="0" fontId="29" fillId="0" borderId="9" xfId="6" applyNumberFormat="1" applyFont="1" applyFill="1" applyBorder="1" applyAlignment="1">
      <alignment horizontal="center" vertical="center" wrapText="1"/>
    </xf>
    <xf numFmtId="0" fontId="17" fillId="31" borderId="6" xfId="0" applyFont="1" applyFill="1" applyBorder="1" applyAlignment="1">
      <alignment horizontal="center" vertical="center"/>
    </xf>
    <xf numFmtId="41" fontId="17" fillId="31" borderId="6" xfId="9" applyFont="1" applyFill="1" applyBorder="1" applyAlignment="1">
      <alignment horizontal="center" vertical="center"/>
    </xf>
    <xf numFmtId="44" fontId="17" fillId="31" borderId="6" xfId="9" applyNumberFormat="1" applyFont="1" applyFill="1" applyBorder="1" applyAlignment="1">
      <alignment horizontal="center" vertical="center"/>
    </xf>
    <xf numFmtId="166" fontId="22" fillId="32" borderId="1" xfId="9" applyNumberFormat="1" applyFont="1" applyFill="1" applyBorder="1" applyAlignment="1">
      <alignment horizontal="center" vertical="center"/>
    </xf>
    <xf numFmtId="0" fontId="17" fillId="32" borderId="6" xfId="0" applyFont="1" applyFill="1" applyBorder="1" applyAlignment="1">
      <alignment horizontal="center" vertical="center"/>
    </xf>
    <xf numFmtId="44" fontId="9" fillId="32" borderId="6" xfId="9" applyNumberFormat="1" applyFont="1" applyFill="1" applyBorder="1" applyAlignment="1">
      <alignment horizontal="center" vertical="center"/>
    </xf>
    <xf numFmtId="0" fontId="9" fillId="32" borderId="6" xfId="0" applyFont="1" applyFill="1" applyBorder="1" applyAlignment="1">
      <alignment horizontal="center" vertical="center"/>
    </xf>
    <xf numFmtId="0" fontId="17" fillId="0" borderId="13" xfId="0" applyFont="1" applyFill="1" applyBorder="1"/>
    <xf numFmtId="0" fontId="17" fillId="34" borderId="13" xfId="0" applyFont="1" applyFill="1" applyBorder="1"/>
    <xf numFmtId="0" fontId="17" fillId="34" borderId="13" xfId="0" applyFont="1" applyFill="1" applyBorder="1" applyAlignment="1">
      <alignment horizontal="center" vertical="center"/>
    </xf>
    <xf numFmtId="44" fontId="17" fillId="9" borderId="1" xfId="1" applyFont="1" applyFill="1" applyBorder="1" applyAlignment="1">
      <alignment horizontal="center" vertical="center" wrapText="1"/>
    </xf>
    <xf numFmtId="0" fontId="22" fillId="31" borderId="1" xfId="0" applyFont="1" applyFill="1" applyBorder="1" applyAlignment="1">
      <alignment horizontal="center" vertical="center" wrapText="1"/>
    </xf>
    <xf numFmtId="44" fontId="17" fillId="17" borderId="1" xfId="1" applyFont="1" applyFill="1" applyBorder="1" applyAlignment="1">
      <alignment horizontal="center" vertical="center" wrapText="1"/>
    </xf>
    <xf numFmtId="43" fontId="17" fillId="0" borderId="0" xfId="0" applyNumberFormat="1" applyFont="1" applyFill="1" applyBorder="1" applyAlignment="1">
      <alignment vertical="center"/>
    </xf>
    <xf numFmtId="166" fontId="1" fillId="0" borderId="0" xfId="9" applyNumberFormat="1" applyFont="1" applyFill="1" applyBorder="1"/>
    <xf numFmtId="166" fontId="1" fillId="0" borderId="0" xfId="9" applyNumberFormat="1" applyFont="1" applyFill="1" applyBorder="1" applyAlignment="1">
      <alignment vertical="center"/>
    </xf>
    <xf numFmtId="166" fontId="20" fillId="0" borderId="0" xfId="9" applyNumberFormat="1" applyFont="1" applyFill="1" applyBorder="1" applyAlignment="1">
      <alignment vertical="center"/>
    </xf>
    <xf numFmtId="166" fontId="9" fillId="34" borderId="1" xfId="9" applyNumberFormat="1" applyFont="1" applyFill="1" applyBorder="1" applyAlignment="1">
      <alignment horizontal="center" vertical="center"/>
    </xf>
    <xf numFmtId="166" fontId="9" fillId="32" borderId="5" xfId="9" applyNumberFormat="1" applyFont="1" applyFill="1" applyBorder="1" applyAlignment="1">
      <alignment horizontal="center" vertical="center"/>
    </xf>
    <xf numFmtId="166" fontId="9" fillId="0" borderId="0" xfId="9" applyNumberFormat="1" applyFont="1" applyFill="1" applyBorder="1"/>
    <xf numFmtId="0" fontId="2" fillId="0" borderId="1" xfId="0" applyFont="1" applyFill="1" applyBorder="1" applyAlignment="1">
      <alignment horizontal="center" vertical="center" wrapText="1"/>
    </xf>
    <xf numFmtId="44" fontId="17" fillId="32" borderId="1" xfId="0" applyNumberFormat="1" applyFont="1" applyFill="1" applyBorder="1" applyAlignment="1">
      <alignment horizontal="center" vertical="center"/>
    </xf>
    <xf numFmtId="44" fontId="9" fillId="33" borderId="12" xfId="0" applyNumberFormat="1" applyFont="1" applyFill="1" applyBorder="1" applyAlignment="1">
      <alignment horizontal="center" vertical="center"/>
    </xf>
    <xf numFmtId="166" fontId="9" fillId="33" borderId="13" xfId="9" applyNumberFormat="1" applyFont="1" applyFill="1" applyBorder="1" applyAlignment="1">
      <alignment horizontal="center" vertical="center"/>
    </xf>
    <xf numFmtId="41" fontId="9" fillId="33" borderId="13" xfId="9" applyFont="1" applyFill="1" applyBorder="1" applyAlignment="1">
      <alignment horizontal="center" vertical="center"/>
    </xf>
    <xf numFmtId="166" fontId="9" fillId="33" borderId="14" xfId="9"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17" fillId="15" borderId="5" xfId="0" applyFont="1" applyFill="1" applyBorder="1" applyAlignment="1">
      <alignment horizontal="center" vertical="center"/>
    </xf>
    <xf numFmtId="44" fontId="17" fillId="15" borderId="5" xfId="1" applyFont="1" applyFill="1" applyBorder="1" applyAlignment="1">
      <alignment horizontal="center" vertical="center"/>
    </xf>
    <xf numFmtId="0" fontId="17" fillId="5" borderId="5" xfId="0" applyFont="1" applyFill="1" applyBorder="1" applyAlignment="1">
      <alignment horizontal="center" vertical="center" wrapText="1"/>
    </xf>
    <xf numFmtId="0" fontId="10" fillId="5" borderId="5" xfId="5" applyFill="1" applyBorder="1" applyAlignment="1">
      <alignment horizontal="center" vertical="center" wrapText="1"/>
    </xf>
    <xf numFmtId="44" fontId="6" fillId="5" borderId="5" xfId="1" applyFont="1" applyFill="1" applyBorder="1" applyAlignment="1">
      <alignment horizontal="center" vertical="center" wrapText="1"/>
    </xf>
    <xf numFmtId="0" fontId="17" fillId="31" borderId="5" xfId="0" applyFont="1" applyFill="1" applyBorder="1" applyAlignment="1">
      <alignment horizontal="center" vertical="center"/>
    </xf>
    <xf numFmtId="1" fontId="9" fillId="32" borderId="15" xfId="0" applyNumberFormat="1" applyFont="1" applyFill="1" applyBorder="1" applyAlignment="1">
      <alignment horizontal="center" vertical="center" wrapText="1"/>
    </xf>
    <xf numFmtId="14" fontId="9" fillId="32" borderId="15" xfId="0" applyNumberFormat="1" applyFont="1" applyFill="1" applyBorder="1" applyAlignment="1">
      <alignment horizontal="center" vertical="center" wrapText="1"/>
    </xf>
    <xf numFmtId="49" fontId="9" fillId="32" borderId="15" xfId="0" applyNumberFormat="1" applyFont="1" applyFill="1" applyBorder="1" applyAlignment="1">
      <alignment horizontal="center" vertical="center" wrapText="1"/>
    </xf>
    <xf numFmtId="0" fontId="17" fillId="0" borderId="5" xfId="0" applyFont="1" applyFill="1" applyBorder="1"/>
    <xf numFmtId="0" fontId="15" fillId="11" borderId="1" xfId="0" applyFont="1" applyFill="1" applyBorder="1" applyAlignment="1">
      <alignment horizontal="center" vertical="center" wrapText="1"/>
    </xf>
    <xf numFmtId="0" fontId="15" fillId="11" borderId="1" xfId="3" applyFont="1" applyFill="1" applyBorder="1" applyAlignment="1" applyProtection="1">
      <alignment horizontal="center" vertical="center" wrapText="1"/>
    </xf>
    <xf numFmtId="44" fontId="15" fillId="14" borderId="1" xfId="1" applyFont="1" applyFill="1" applyBorder="1" applyAlignment="1" applyProtection="1">
      <alignment horizontal="center" vertical="center" wrapText="1"/>
    </xf>
    <xf numFmtId="164" fontId="15" fillId="11" borderId="1" xfId="2" applyNumberFormat="1" applyFont="1" applyFill="1" applyBorder="1" applyAlignment="1">
      <alignment horizontal="center" vertical="center" wrapText="1"/>
    </xf>
    <xf numFmtId="44" fontId="15" fillId="12" borderId="1" xfId="1" applyFont="1" applyFill="1" applyBorder="1" applyAlignment="1" applyProtection="1">
      <alignment horizontal="center" vertical="center" wrapText="1"/>
      <protection locked="0"/>
    </xf>
    <xf numFmtId="0" fontId="1" fillId="6" borderId="1" xfId="0" applyFont="1" applyFill="1" applyBorder="1" applyAlignment="1">
      <alignment horizontal="center" vertical="center" wrapText="1"/>
    </xf>
    <xf numFmtId="166" fontId="1" fillId="6" borderId="1" xfId="9" applyNumberFormat="1" applyFont="1" applyFill="1" applyBorder="1" applyAlignment="1">
      <alignment horizontal="center" vertical="center" wrapText="1"/>
    </xf>
    <xf numFmtId="44" fontId="1" fillId="6" borderId="1" xfId="0" applyNumberFormat="1" applyFont="1" applyFill="1" applyBorder="1" applyAlignment="1">
      <alignment horizontal="center" vertical="center" wrapText="1"/>
    </xf>
    <xf numFmtId="0" fontId="1" fillId="29" borderId="1" xfId="0" applyFont="1" applyFill="1" applyBorder="1" applyAlignment="1">
      <alignment horizontal="center" vertical="center" wrapText="1"/>
    </xf>
    <xf numFmtId="41" fontId="2" fillId="3" borderId="1" xfId="9"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24" borderId="1" xfId="0" applyFont="1" applyFill="1" applyBorder="1" applyAlignment="1">
      <alignment horizontal="center" vertical="center" wrapText="1"/>
    </xf>
    <xf numFmtId="44" fontId="17" fillId="31" borderId="1" xfId="0" applyNumberFormat="1" applyFont="1" applyFill="1" applyBorder="1" applyAlignment="1">
      <alignment horizontal="center" vertical="center"/>
    </xf>
    <xf numFmtId="1" fontId="9" fillId="32" borderId="1" xfId="0" applyNumberFormat="1" applyFont="1" applyFill="1" applyBorder="1" applyAlignment="1">
      <alignment horizontal="center" vertical="center" wrapText="1"/>
    </xf>
    <xf numFmtId="49" fontId="9" fillId="32"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44" fontId="1" fillId="0" borderId="1" xfId="0" applyNumberFormat="1" applyFont="1" applyFill="1" applyBorder="1" applyAlignment="1">
      <alignment vertical="center" wrapText="1"/>
    </xf>
    <xf numFmtId="44" fontId="20" fillId="0" borderId="0" xfId="0" applyNumberFormat="1" applyFont="1" applyFill="1" applyBorder="1" applyAlignment="1">
      <alignment vertical="center" wrapText="1"/>
    </xf>
    <xf numFmtId="0" fontId="1" fillId="18" borderId="1" xfId="0" applyFont="1" applyFill="1" applyBorder="1" applyAlignment="1">
      <alignment horizontal="center" vertical="center"/>
    </xf>
    <xf numFmtId="44" fontId="1" fillId="0" borderId="1" xfId="0" applyNumberFormat="1" applyFont="1" applyFill="1" applyBorder="1" applyAlignment="1">
      <alignment vertical="center"/>
    </xf>
    <xf numFmtId="0" fontId="1"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44" fontId="1" fillId="2" borderId="1" xfId="0" applyNumberFormat="1" applyFont="1" applyFill="1" applyBorder="1" applyAlignment="1">
      <alignment horizontal="center" vertical="center" wrapText="1"/>
    </xf>
    <xf numFmtId="44" fontId="9" fillId="31" borderId="1" xfId="1" applyFont="1" applyFill="1" applyBorder="1" applyAlignment="1">
      <alignment horizontal="center" vertical="center" wrapText="1"/>
    </xf>
    <xf numFmtId="166" fontId="9" fillId="31" borderId="1" xfId="9" applyNumberFormat="1" applyFont="1" applyFill="1" applyBorder="1" applyAlignment="1">
      <alignment horizontal="center" vertical="center"/>
    </xf>
    <xf numFmtId="41" fontId="9" fillId="31" borderId="1" xfId="9" applyFont="1" applyFill="1" applyBorder="1" applyAlignment="1">
      <alignment horizontal="center" vertical="center"/>
    </xf>
    <xf numFmtId="0" fontId="9" fillId="0" borderId="0" xfId="0" applyFont="1" applyFill="1" applyBorder="1" applyAlignment="1">
      <alignment horizontal="center" vertical="center"/>
    </xf>
    <xf numFmtId="41" fontId="9" fillId="0" borderId="0" xfId="9" applyFont="1" applyFill="1" applyBorder="1" applyAlignment="1">
      <alignment horizontal="center" vertical="center"/>
    </xf>
    <xf numFmtId="41" fontId="9" fillId="0" borderId="0" xfId="9" applyFont="1" applyFill="1" applyBorder="1"/>
    <xf numFmtId="43" fontId="9" fillId="0" borderId="0" xfId="0" applyNumberFormat="1" applyFont="1" applyFill="1" applyBorder="1" applyAlignment="1">
      <alignment vertical="center"/>
    </xf>
    <xf numFmtId="43" fontId="9" fillId="0" borderId="0" xfId="0" applyNumberFormat="1" applyFont="1" applyFill="1" applyBorder="1"/>
    <xf numFmtId="44" fontId="9" fillId="0" borderId="0" xfId="0" applyNumberFormat="1" applyFont="1" applyFill="1" applyBorder="1" applyAlignment="1">
      <alignment vertical="center"/>
    </xf>
    <xf numFmtId="0" fontId="1" fillId="4"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7" fillId="34" borderId="1" xfId="0" applyFont="1" applyFill="1" applyBorder="1" applyAlignment="1">
      <alignment horizontal="center" vertical="center" wrapText="1"/>
    </xf>
    <xf numFmtId="14" fontId="9" fillId="32" borderId="1" xfId="9" applyNumberFormat="1" applyFont="1" applyFill="1" applyBorder="1" applyAlignment="1">
      <alignment horizontal="center" vertical="center"/>
    </xf>
    <xf numFmtId="166" fontId="17" fillId="32" borderId="1" xfId="9" applyNumberFormat="1" applyFont="1" applyFill="1" applyBorder="1" applyAlignment="1">
      <alignment horizontal="center" vertical="center"/>
    </xf>
    <xf numFmtId="44" fontId="9" fillId="32" borderId="1" xfId="9" applyNumberFormat="1" applyFont="1" applyFill="1" applyBorder="1" applyAlignment="1">
      <alignment horizontal="center" vertical="center"/>
    </xf>
    <xf numFmtId="44" fontId="17" fillId="31" borderId="1" xfId="9" applyNumberFormat="1" applyFont="1" applyFill="1" applyBorder="1" applyAlignment="1">
      <alignment horizontal="center" vertical="center"/>
    </xf>
    <xf numFmtId="44" fontId="17" fillId="5" borderId="1" xfId="1" applyFont="1" applyFill="1" applyBorder="1" applyAlignment="1">
      <alignment horizontal="center" vertical="center" wrapText="1"/>
    </xf>
    <xf numFmtId="166" fontId="17" fillId="34" borderId="1" xfId="9" applyNumberFormat="1" applyFont="1" applyFill="1" applyBorder="1" applyAlignment="1">
      <alignment horizontal="center" vertical="center"/>
    </xf>
    <xf numFmtId="0" fontId="6" fillId="31" borderId="1" xfId="0" applyFont="1" applyFill="1" applyBorder="1" applyAlignment="1">
      <alignment horizontal="center" vertical="center"/>
    </xf>
    <xf numFmtId="41" fontId="1" fillId="0" borderId="0" xfId="9" applyFont="1" applyFill="1" applyBorder="1" applyAlignment="1">
      <alignment vertical="center"/>
    </xf>
    <xf numFmtId="44" fontId="17" fillId="10" borderId="1" xfId="1" applyFont="1" applyFill="1" applyBorder="1" applyAlignment="1">
      <alignment horizontal="center" vertical="center" wrapText="1"/>
    </xf>
    <xf numFmtId="0" fontId="21" fillId="17" borderId="1" xfId="5" applyFont="1" applyFill="1" applyBorder="1" applyAlignment="1">
      <alignment horizontal="center" vertical="center" wrapText="1"/>
    </xf>
    <xf numFmtId="166" fontId="19" fillId="0" borderId="0" xfId="9" applyNumberFormat="1" applyFont="1" applyFill="1" applyBorder="1" applyAlignment="1">
      <alignment vertical="center"/>
    </xf>
    <xf numFmtId="166" fontId="17" fillId="34" borderId="13" xfId="9" applyNumberFormat="1" applyFont="1" applyFill="1" applyBorder="1" applyAlignment="1">
      <alignment horizontal="center" vertical="center"/>
    </xf>
    <xf numFmtId="44" fontId="9" fillId="33" borderId="1" xfId="1" applyFont="1" applyFill="1" applyBorder="1" applyAlignment="1">
      <alignment horizontal="center" vertical="center" wrapText="1"/>
    </xf>
    <xf numFmtId="44" fontId="9" fillId="33" borderId="5" xfId="0" applyNumberFormat="1" applyFont="1" applyFill="1" applyBorder="1" applyAlignment="1">
      <alignment horizontal="center" vertical="center"/>
    </xf>
    <xf numFmtId="41" fontId="9" fillId="33" borderId="1" xfId="9" applyFont="1" applyFill="1" applyBorder="1" applyAlignment="1">
      <alignment horizontal="center" vertical="center"/>
    </xf>
    <xf numFmtId="166" fontId="9" fillId="33" borderId="1" xfId="9" applyNumberFormat="1" applyFont="1" applyFill="1" applyBorder="1" applyAlignment="1">
      <alignment horizontal="center" vertical="center"/>
    </xf>
    <xf numFmtId="166" fontId="9" fillId="33" borderId="12" xfId="9" applyNumberFormat="1" applyFont="1" applyFill="1" applyBorder="1" applyAlignment="1">
      <alignment horizontal="center" vertical="center"/>
    </xf>
    <xf numFmtId="166" fontId="1" fillId="33" borderId="13" xfId="9" applyNumberFormat="1" applyFont="1" applyFill="1" applyBorder="1" applyAlignment="1">
      <alignment horizontal="center" vertical="center"/>
    </xf>
    <xf numFmtId="166" fontId="9" fillId="33" borderId="13" xfId="9" applyNumberFormat="1" applyFont="1" applyFill="1" applyBorder="1" applyAlignment="1">
      <alignment vertical="center"/>
    </xf>
    <xf numFmtId="166" fontId="9" fillId="33" borderId="14" xfId="9" applyNumberFormat="1" applyFont="1" applyFill="1" applyBorder="1" applyAlignment="1">
      <alignment horizontal="left" vertical="center"/>
    </xf>
    <xf numFmtId="166" fontId="17" fillId="34" borderId="13" xfId="9" applyNumberFormat="1" applyFont="1" applyFill="1" applyBorder="1" applyAlignment="1">
      <alignment vertical="center"/>
    </xf>
    <xf numFmtId="44" fontId="9" fillId="34" borderId="12" xfId="0" applyNumberFormat="1" applyFont="1" applyFill="1" applyBorder="1" applyAlignment="1">
      <alignment horizontal="center" vertical="center"/>
    </xf>
    <xf numFmtId="14" fontId="9" fillId="32" borderId="0" xfId="0" applyNumberFormat="1" applyFont="1" applyFill="1" applyAlignment="1">
      <alignment horizontal="center" vertical="center" wrapText="1"/>
    </xf>
    <xf numFmtId="166" fontId="22" fillId="34" borderId="1" xfId="9" applyNumberFormat="1" applyFont="1" applyFill="1" applyBorder="1" applyAlignment="1">
      <alignment horizontal="center" vertical="center"/>
    </xf>
    <xf numFmtId="14" fontId="9" fillId="34" borderId="1" xfId="0" applyNumberFormat="1" applyFont="1" applyFill="1" applyBorder="1" applyAlignment="1">
      <alignment horizontal="center" vertical="center" wrapText="1"/>
    </xf>
    <xf numFmtId="166" fontId="22" fillId="34" borderId="13" xfId="9" applyNumberFormat="1" applyFont="1" applyFill="1" applyBorder="1" applyAlignment="1">
      <alignment horizontal="center" vertical="center"/>
    </xf>
    <xf numFmtId="41" fontId="9" fillId="0" borderId="0" xfId="9" applyFont="1" applyFill="1" applyBorder="1" applyAlignment="1">
      <alignment horizontal="left" vertical="center" wrapText="1"/>
    </xf>
    <xf numFmtId="0" fontId="17" fillId="16" borderId="1" xfId="0" applyFont="1" applyFill="1" applyBorder="1" applyAlignment="1">
      <alignment horizontal="center" vertical="center" wrapText="1"/>
    </xf>
    <xf numFmtId="44" fontId="17" fillId="16" borderId="1" xfId="1" applyFont="1" applyFill="1" applyBorder="1" applyAlignment="1">
      <alignment horizontal="center" vertical="center" wrapText="1"/>
    </xf>
    <xf numFmtId="14" fontId="9" fillId="34" borderId="1" xfId="0" applyNumberFormat="1" applyFont="1" applyFill="1" applyBorder="1" applyAlignment="1">
      <alignment horizontal="center" vertical="center"/>
    </xf>
    <xf numFmtId="41" fontId="9" fillId="0" borderId="0" xfId="9" applyFont="1" applyFill="1" applyBorder="1" applyAlignment="1">
      <alignment vertical="center"/>
    </xf>
    <xf numFmtId="0" fontId="17"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41" fontId="9" fillId="0" borderId="0" xfId="0" applyNumberFormat="1" applyFont="1" applyFill="1" applyBorder="1" applyAlignment="1">
      <alignment vertical="center"/>
    </xf>
    <xf numFmtId="166" fontId="9" fillId="0" borderId="0" xfId="0" applyNumberFormat="1" applyFont="1" applyFill="1" applyBorder="1" applyAlignment="1">
      <alignment vertical="center"/>
    </xf>
    <xf numFmtId="166" fontId="9" fillId="0" borderId="0" xfId="0" applyNumberFormat="1" applyFont="1" applyFill="1" applyBorder="1" applyAlignment="1">
      <alignment vertical="center" wrapText="1"/>
    </xf>
    <xf numFmtId="166" fontId="22" fillId="33" borderId="1" xfId="9" applyNumberFormat="1" applyFont="1" applyFill="1" applyBorder="1" applyAlignment="1">
      <alignment horizontal="center" vertical="center"/>
    </xf>
    <xf numFmtId="166" fontId="9" fillId="34" borderId="0" xfId="9" applyNumberFormat="1" applyFont="1" applyFill="1" applyBorder="1" applyAlignment="1">
      <alignment vertical="center"/>
    </xf>
    <xf numFmtId="43" fontId="17" fillId="34" borderId="0" xfId="0" applyNumberFormat="1" applyFont="1" applyFill="1" applyBorder="1" applyAlignment="1">
      <alignment vertical="center"/>
    </xf>
    <xf numFmtId="166" fontId="9" fillId="34" borderId="14" xfId="9" applyNumberFormat="1" applyFont="1" applyFill="1" applyBorder="1" applyAlignment="1">
      <alignment horizontal="center" vertical="center" wrapText="1"/>
    </xf>
    <xf numFmtId="166" fontId="9" fillId="34" borderId="13" xfId="9" applyNumberFormat="1" applyFont="1" applyFill="1" applyBorder="1" applyAlignment="1">
      <alignment horizontal="center" vertical="center"/>
    </xf>
    <xf numFmtId="166" fontId="9" fillId="33" borderId="1" xfId="9" applyNumberFormat="1" applyFont="1" applyFill="1" applyBorder="1" applyAlignment="1">
      <alignment horizontal="center" vertical="center" wrapText="1"/>
    </xf>
    <xf numFmtId="166" fontId="17" fillId="32" borderId="5" xfId="9" applyNumberFormat="1" applyFont="1" applyFill="1" applyBorder="1" applyAlignment="1">
      <alignment horizontal="center" vertical="center"/>
    </xf>
    <xf numFmtId="166" fontId="9" fillId="32" borderId="5" xfId="0" applyNumberFormat="1" applyFont="1" applyFill="1" applyBorder="1" applyAlignment="1">
      <alignment horizontal="center" vertical="center"/>
    </xf>
    <xf numFmtId="166" fontId="9" fillId="34" borderId="5" xfId="0" applyNumberFormat="1" applyFont="1" applyFill="1" applyBorder="1" applyAlignment="1">
      <alignment horizontal="center" vertical="center"/>
    </xf>
    <xf numFmtId="166" fontId="9" fillId="32" borderId="1" xfId="1" applyNumberFormat="1" applyFont="1" applyFill="1" applyBorder="1" applyAlignment="1">
      <alignment horizontal="center" vertical="center" wrapText="1"/>
    </xf>
    <xf numFmtId="166" fontId="9" fillId="34" borderId="1" xfId="0" applyNumberFormat="1" applyFont="1" applyFill="1" applyBorder="1" applyAlignment="1">
      <alignment horizontal="center" vertical="center"/>
    </xf>
    <xf numFmtId="166" fontId="9" fillId="32" borderId="1" xfId="0" applyNumberFormat="1" applyFont="1" applyFill="1" applyBorder="1" applyAlignment="1">
      <alignment horizontal="center" vertical="center"/>
    </xf>
    <xf numFmtId="14" fontId="9" fillId="32" borderId="6" xfId="9" applyNumberFormat="1" applyFont="1" applyFill="1" applyBorder="1" applyAlignment="1">
      <alignment horizontal="center" vertical="center" wrapText="1"/>
    </xf>
    <xf numFmtId="41" fontId="9" fillId="34" borderId="1" xfId="9" applyFont="1" applyFill="1" applyBorder="1" applyAlignment="1">
      <alignment horizontal="center" vertical="center"/>
    </xf>
    <xf numFmtId="41" fontId="9" fillId="31" borderId="1" xfId="9" applyFont="1" applyFill="1" applyBorder="1" applyAlignment="1">
      <alignment horizontal="center" vertical="center" wrapText="1"/>
    </xf>
    <xf numFmtId="41" fontId="9" fillId="34" borderId="1" xfId="9"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10" xfId="0" applyFont="1" applyFill="1" applyBorder="1" applyAlignment="1">
      <alignment horizontal="center" vertical="center"/>
    </xf>
    <xf numFmtId="41" fontId="31" fillId="0" borderId="1" xfId="9" applyFont="1" applyFill="1" applyBorder="1" applyAlignment="1">
      <alignment horizontal="center" vertical="center"/>
    </xf>
    <xf numFmtId="0" fontId="25" fillId="20" borderId="1" xfId="0" applyFont="1" applyFill="1" applyBorder="1" applyAlignment="1">
      <alignment horizontal="center" vertical="center" wrapText="1"/>
    </xf>
  </cellXfs>
  <cellStyles count="15">
    <cellStyle name="BodyStyle" xfId="7" xr:uid="{00000000-0005-0000-0000-000000000000}"/>
    <cellStyle name="Énfasis1" xfId="2" builtinId="29"/>
    <cellStyle name="HeaderStyle" xfId="3" xr:uid="{00000000-0005-0000-0000-000002000000}"/>
    <cellStyle name="Hipervínculo" xfId="5" builtinId="8"/>
    <cellStyle name="Millares [0]" xfId="9" builtinId="6"/>
    <cellStyle name="Millares [0] 2" xfId="13" xr:uid="{00000000-0005-0000-0000-000005000000}"/>
    <cellStyle name="Millares 2" xfId="10" xr:uid="{00000000-0005-0000-0000-000006000000}"/>
    <cellStyle name="Millares 2 2" xfId="14" xr:uid="{00000000-0005-0000-0000-000007000000}"/>
    <cellStyle name="Moneda" xfId="1" builtinId="4"/>
    <cellStyle name="Moneda [0]" xfId="8" builtinId="7"/>
    <cellStyle name="Moneda [0] 2" xfId="12" xr:uid="{00000000-0005-0000-0000-00000A000000}"/>
    <cellStyle name="Moneda 2" xfId="11" xr:uid="{00000000-0005-0000-0000-00000B000000}"/>
    <cellStyle name="Normal" xfId="0" builtinId="0"/>
    <cellStyle name="Normal 2 2 2 2 2" xfId="6" xr:uid="{00000000-0005-0000-0000-00000D000000}"/>
    <cellStyle name="Normal 3" xfId="4" xr:uid="{00000000-0005-0000-0000-00000E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16328</xdr:colOff>
      <xdr:row>3</xdr:row>
      <xdr:rowOff>193222</xdr:rowOff>
    </xdr:from>
    <xdr:to>
      <xdr:col>1</xdr:col>
      <xdr:colOff>258536</xdr:colOff>
      <xdr:row>3</xdr:row>
      <xdr:rowOff>925286</xdr:rowOff>
    </xdr:to>
    <xdr:pic>
      <xdr:nvPicPr>
        <xdr:cNvPr id="2" name="Imagen 1">
          <a:extLst>
            <a:ext uri="{FF2B5EF4-FFF2-40B4-BE49-F238E27FC236}">
              <a16:creationId xmlns:a16="http://schemas.microsoft.com/office/drawing/2014/main" id="{F3BB0717-A6CD-47F8-9636-065AD72A01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6328" y="3404508"/>
          <a:ext cx="3045279" cy="732064"/>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bdireccion@inci.gov.co" TargetMode="External"/><Relationship Id="rId21" Type="http://schemas.openxmlformats.org/officeDocument/2006/relationships/hyperlink" Target="mailto:secretariageneral@inci.gov.co" TargetMode="External"/><Relationship Id="rId42" Type="http://schemas.openxmlformats.org/officeDocument/2006/relationships/hyperlink" Target="mailto:direccioninci@inci.gov.co" TargetMode="External"/><Relationship Id="rId47" Type="http://schemas.openxmlformats.org/officeDocument/2006/relationships/hyperlink" Target="mailto:secretariageneral@inci.gov.co" TargetMode="External"/><Relationship Id="rId63" Type="http://schemas.openxmlformats.org/officeDocument/2006/relationships/hyperlink" Target="mailto:subdireccion@inci.gov.co" TargetMode="External"/><Relationship Id="rId68" Type="http://schemas.openxmlformats.org/officeDocument/2006/relationships/hyperlink" Target="mailto:subdireccion@inci.gov.co" TargetMode="External"/><Relationship Id="rId16" Type="http://schemas.openxmlformats.org/officeDocument/2006/relationships/hyperlink" Target="mailto:subdireccion@inci.gov.co" TargetMode="External"/><Relationship Id="rId11" Type="http://schemas.openxmlformats.org/officeDocument/2006/relationships/hyperlink" Target="mailto:planeacion@inci.gov.co" TargetMode="External"/><Relationship Id="rId24" Type="http://schemas.openxmlformats.org/officeDocument/2006/relationships/hyperlink" Target="mailto:subdireccion@inci.gov.co" TargetMode="External"/><Relationship Id="rId32" Type="http://schemas.openxmlformats.org/officeDocument/2006/relationships/hyperlink" Target="mailto:subdireccion@inci.gov.co" TargetMode="External"/><Relationship Id="rId37" Type="http://schemas.openxmlformats.org/officeDocument/2006/relationships/hyperlink" Target="mailto:subdireccion@inci.gov.co" TargetMode="External"/><Relationship Id="rId40" Type="http://schemas.openxmlformats.org/officeDocument/2006/relationships/hyperlink" Target="mailto:subdireccion@inci.gov.co" TargetMode="External"/><Relationship Id="rId45" Type="http://schemas.openxmlformats.org/officeDocument/2006/relationships/hyperlink" Target="mailto:subdireccion@inci.gov.co" TargetMode="External"/><Relationship Id="rId53" Type="http://schemas.openxmlformats.org/officeDocument/2006/relationships/hyperlink" Target="mailto:controlinterno@inci.gov.co" TargetMode="External"/><Relationship Id="rId58" Type="http://schemas.openxmlformats.org/officeDocument/2006/relationships/hyperlink" Target="mailto:secretariageneral@inci.gov.co" TargetMode="External"/><Relationship Id="rId66" Type="http://schemas.openxmlformats.org/officeDocument/2006/relationships/hyperlink" Target="mailto:secretariageneral@inci.gov.co" TargetMode="External"/><Relationship Id="rId74" Type="http://schemas.openxmlformats.org/officeDocument/2006/relationships/printerSettings" Target="../printerSettings/printerSettings1.bin"/><Relationship Id="rId5" Type="http://schemas.openxmlformats.org/officeDocument/2006/relationships/hyperlink" Target="mailto:secretariageneral@inci.gov.co" TargetMode="External"/><Relationship Id="rId61" Type="http://schemas.openxmlformats.org/officeDocument/2006/relationships/hyperlink" Target="mailto:subdireccion@inci.gov.co" TargetMode="External"/><Relationship Id="rId19" Type="http://schemas.openxmlformats.org/officeDocument/2006/relationships/hyperlink" Target="mailto:secretariageneral@inci.gov.co" TargetMode="External"/><Relationship Id="rId14" Type="http://schemas.openxmlformats.org/officeDocument/2006/relationships/hyperlink" Target="mailto:secretariageneral@inci.gov.co" TargetMode="External"/><Relationship Id="rId22" Type="http://schemas.openxmlformats.org/officeDocument/2006/relationships/hyperlink" Target="mailto:juridica@inci.gov.co" TargetMode="External"/><Relationship Id="rId27" Type="http://schemas.openxmlformats.org/officeDocument/2006/relationships/hyperlink" Target="mailto:subdireccion@inci.gov.co" TargetMode="External"/><Relationship Id="rId30" Type="http://schemas.openxmlformats.org/officeDocument/2006/relationships/hyperlink" Target="mailto:subdireccion@inci.gov.co" TargetMode="External"/><Relationship Id="rId35" Type="http://schemas.openxmlformats.org/officeDocument/2006/relationships/hyperlink" Target="mailto:subdirec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ubdireccion@inci.gov.co" TargetMode="External"/><Relationship Id="rId56" Type="http://schemas.openxmlformats.org/officeDocument/2006/relationships/hyperlink" Target="mailto:subdireccion@inci.gov.co" TargetMode="External"/><Relationship Id="rId64" Type="http://schemas.openxmlformats.org/officeDocument/2006/relationships/hyperlink" Target="mailto:juridica@inci.gov.co" TargetMode="External"/><Relationship Id="rId69" Type="http://schemas.openxmlformats.org/officeDocument/2006/relationships/hyperlink" Target="mailto:subdireccion@inci.gov.co" TargetMode="External"/><Relationship Id="rId77" Type="http://schemas.openxmlformats.org/officeDocument/2006/relationships/comments" Target="../comments1.xml"/><Relationship Id="rId8" Type="http://schemas.openxmlformats.org/officeDocument/2006/relationships/hyperlink" Target="mailto:planeacion@inci.gov.co" TargetMode="External"/><Relationship Id="rId51" Type="http://schemas.openxmlformats.org/officeDocument/2006/relationships/hyperlink" Target="mailto:subdireccion@inci.gov.co" TargetMode="External"/><Relationship Id="rId72" Type="http://schemas.openxmlformats.org/officeDocument/2006/relationships/hyperlink" Target="mailto:direccioninci@inci.gov.co" TargetMode="External"/><Relationship Id="rId3" Type="http://schemas.openxmlformats.org/officeDocument/2006/relationships/hyperlink" Target="mailto:secretariageneral@inci.gov.co" TargetMode="External"/><Relationship Id="rId12" Type="http://schemas.openxmlformats.org/officeDocument/2006/relationships/hyperlink" Target="mailto:desarrollohumano@inci.gov.co" TargetMode="External"/><Relationship Id="rId17" Type="http://schemas.openxmlformats.org/officeDocument/2006/relationships/hyperlink" Target="mailto:subdireccion@inci.gov.co" TargetMode="External"/><Relationship Id="rId25" Type="http://schemas.openxmlformats.org/officeDocument/2006/relationships/hyperlink" Target="mailto:subdireccion@inci.gov.co" TargetMode="External"/><Relationship Id="rId33" Type="http://schemas.openxmlformats.org/officeDocument/2006/relationships/hyperlink" Target="mailto:subdireccion@inci.gov.co" TargetMode="External"/><Relationship Id="rId38" Type="http://schemas.openxmlformats.org/officeDocument/2006/relationships/hyperlink" Target="mailto:subdirec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ecretariageneral@inci.gov.co" TargetMode="External"/><Relationship Id="rId67" Type="http://schemas.openxmlformats.org/officeDocument/2006/relationships/hyperlink" Target="mailto:subdireccion@inci.gov.co" TargetMode="External"/><Relationship Id="rId20" Type="http://schemas.openxmlformats.org/officeDocument/2006/relationships/hyperlink" Target="mailto:secretariageneral@inci.gov.co" TargetMode="External"/><Relationship Id="rId41" Type="http://schemas.openxmlformats.org/officeDocument/2006/relationships/hyperlink" Target="mailto:direccioninci@inci.gov.co" TargetMode="External"/><Relationship Id="rId54" Type="http://schemas.openxmlformats.org/officeDocument/2006/relationships/hyperlink" Target="mailto:subdireccion@inci.gov.co" TargetMode="External"/><Relationship Id="rId62" Type="http://schemas.openxmlformats.org/officeDocument/2006/relationships/hyperlink" Target="mailto:subdireccion@inci.gov.co" TargetMode="External"/><Relationship Id="rId70" Type="http://schemas.openxmlformats.org/officeDocument/2006/relationships/hyperlink" Target="mailto:subdireccion@inci.gov.co" TargetMode="External"/><Relationship Id="rId75" Type="http://schemas.openxmlformats.org/officeDocument/2006/relationships/drawing" Target="../drawings/drawing1.xml"/><Relationship Id="rId1" Type="http://schemas.openxmlformats.org/officeDocument/2006/relationships/hyperlink" Target="mailto:secretariageneral@inci.gov.co" TargetMode="External"/><Relationship Id="rId6" Type="http://schemas.openxmlformats.org/officeDocument/2006/relationships/hyperlink" Target="mailto:juridica@inci.gov.co" TargetMode="External"/><Relationship Id="rId15" Type="http://schemas.openxmlformats.org/officeDocument/2006/relationships/hyperlink" Target="mailto:secretariageneral@inci.gov.co" TargetMode="External"/><Relationship Id="rId23" Type="http://schemas.openxmlformats.org/officeDocument/2006/relationships/hyperlink" Target="mailto:secretariageneral@inci.gov.co" TargetMode="External"/><Relationship Id="rId28" Type="http://schemas.openxmlformats.org/officeDocument/2006/relationships/hyperlink" Target="mailto:subdireccion@inci.gov.co" TargetMode="External"/><Relationship Id="rId36" Type="http://schemas.openxmlformats.org/officeDocument/2006/relationships/hyperlink" Target="mailto:subdireccion@inci.gov.co" TargetMode="External"/><Relationship Id="rId49" Type="http://schemas.openxmlformats.org/officeDocument/2006/relationships/hyperlink" Target="mailto:subdireccion@inci.gov.co" TargetMode="External"/><Relationship Id="rId57" Type="http://schemas.openxmlformats.org/officeDocument/2006/relationships/hyperlink" Target="mailto:secretariageneral@inci.gov.co" TargetMode="External"/><Relationship Id="rId10" Type="http://schemas.openxmlformats.org/officeDocument/2006/relationships/hyperlink" Target="mailto:planeacion@inci.gov.co" TargetMode="External"/><Relationship Id="rId31" Type="http://schemas.openxmlformats.org/officeDocument/2006/relationships/hyperlink" Target="mailto:subdirec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direccioninci@inci.gov.co" TargetMode="External"/><Relationship Id="rId65" Type="http://schemas.openxmlformats.org/officeDocument/2006/relationships/hyperlink" Target="mailto:direccioninci@inci.gov.co" TargetMode="External"/><Relationship Id="rId73" Type="http://schemas.openxmlformats.org/officeDocument/2006/relationships/hyperlink" Target="mailto:juridica@inci.gov.co" TargetMode="External"/><Relationship Id="rId4" Type="http://schemas.openxmlformats.org/officeDocument/2006/relationships/hyperlink" Target="mailto:secretariageneral@inci.gov.co" TargetMode="External"/><Relationship Id="rId9" Type="http://schemas.openxmlformats.org/officeDocument/2006/relationships/hyperlink" Target="mailto:planeacion@inci.gov.co" TargetMode="External"/><Relationship Id="rId13" Type="http://schemas.openxmlformats.org/officeDocument/2006/relationships/hyperlink" Target="mailto:desarrollohumano@inci.gov.co" TargetMode="External"/><Relationship Id="rId18" Type="http://schemas.openxmlformats.org/officeDocument/2006/relationships/hyperlink" Target="mailto:secretariageneral@inci.gov.co" TargetMode="External"/><Relationship Id="rId39" Type="http://schemas.openxmlformats.org/officeDocument/2006/relationships/hyperlink" Target="mailto:subdireccion@inci.gov.co" TargetMode="External"/><Relationship Id="rId34" Type="http://schemas.openxmlformats.org/officeDocument/2006/relationships/hyperlink" Target="mailto:subdireccion@inci.gov.co" TargetMode="External"/><Relationship Id="rId50" Type="http://schemas.openxmlformats.org/officeDocument/2006/relationships/hyperlink" Target="mailto:secretariageneral@inci.gov.co" TargetMode="External"/><Relationship Id="rId55" Type="http://schemas.openxmlformats.org/officeDocument/2006/relationships/hyperlink" Target="mailto:subdireccion@inci.gov.co" TargetMode="External"/><Relationship Id="rId76" Type="http://schemas.openxmlformats.org/officeDocument/2006/relationships/vmlDrawing" Target="../drawings/vmlDrawing1.vml"/><Relationship Id="rId7" Type="http://schemas.openxmlformats.org/officeDocument/2006/relationships/hyperlink" Target="mailto:juridica@inci.gov.co" TargetMode="External"/><Relationship Id="rId71" Type="http://schemas.openxmlformats.org/officeDocument/2006/relationships/hyperlink" Target="mailto:subdireccion@inci.gov.co" TargetMode="External"/><Relationship Id="rId2" Type="http://schemas.openxmlformats.org/officeDocument/2006/relationships/hyperlink" Target="mailto:juridica@inci.gov.co" TargetMode="External"/><Relationship Id="rId29" Type="http://schemas.openxmlformats.org/officeDocument/2006/relationships/hyperlink" Target="mailto:subdireccion@inci.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O187"/>
  <sheetViews>
    <sheetView tabSelected="1" topLeftCell="A142" zoomScale="60" zoomScaleNormal="60" workbookViewId="0">
      <selection activeCell="G144" sqref="G144"/>
    </sheetView>
  </sheetViews>
  <sheetFormatPr baseColWidth="10" defaultColWidth="11.42578125" defaultRowHeight="18" x14ac:dyDescent="0.2"/>
  <cols>
    <col min="1" max="1" width="42" style="17" customWidth="1"/>
    <col min="2" max="2" width="36.7109375" style="15" customWidth="1"/>
    <col min="3" max="3" width="33.42578125" style="16" customWidth="1"/>
    <col min="4" max="4" width="23.42578125" style="367" customWidth="1"/>
    <col min="5" max="5" width="49.7109375" style="16" customWidth="1"/>
    <col min="6" max="6" width="30.28515625" style="16" customWidth="1"/>
    <col min="7" max="7" width="34.42578125" style="16" customWidth="1"/>
    <col min="8" max="8" width="51.5703125" style="69" customWidth="1"/>
    <col min="9" max="10" width="25.7109375" style="17" customWidth="1"/>
    <col min="11" max="11" width="23.85546875" style="17" customWidth="1"/>
    <col min="12" max="12" width="28.42578125" style="17" customWidth="1"/>
    <col min="13" max="13" width="27.7109375" style="17" customWidth="1"/>
    <col min="14" max="14" width="21.140625" style="17" customWidth="1"/>
    <col min="15" max="15" width="24.28515625" style="360" customWidth="1"/>
    <col min="16" max="16" width="24.140625" style="148" customWidth="1"/>
    <col min="17" max="17" width="20" style="17" customWidth="1"/>
    <col min="18" max="18" width="23.5703125" style="17" customWidth="1"/>
    <col min="19" max="19" width="25.85546875" style="17" customWidth="1"/>
    <col min="20" max="20" width="27.85546875" style="17" customWidth="1"/>
    <col min="21" max="21" width="26.85546875" style="17" customWidth="1"/>
    <col min="22" max="22" width="26.28515625" style="17" customWidth="1"/>
    <col min="23" max="23" width="40.28515625" style="17" customWidth="1"/>
    <col min="24" max="24" width="23.28515625" style="360" customWidth="1"/>
    <col min="25" max="25" width="27.140625" style="360" customWidth="1"/>
    <col min="26" max="28" width="29" style="17" customWidth="1"/>
    <col min="29" max="29" width="26.42578125" style="23" customWidth="1"/>
    <col min="30" max="30" width="27.7109375" style="281" customWidth="1"/>
    <col min="31" max="31" width="26.28515625" style="281" customWidth="1"/>
    <col min="32" max="32" width="26.5703125" style="365" customWidth="1"/>
    <col min="33" max="33" width="23.85546875" style="281" customWidth="1"/>
    <col min="34" max="34" width="19.7109375" style="281" customWidth="1"/>
    <col min="35" max="35" width="29" style="316" customWidth="1"/>
    <col min="36" max="36" width="25.28515625" style="282" customWidth="1"/>
    <col min="37" max="37" width="22.5703125" style="281" customWidth="1"/>
    <col min="38" max="38" width="43.5703125" style="283" customWidth="1"/>
    <col min="39" max="39" width="26.28515625" style="240" customWidth="1"/>
    <col min="40" max="40" width="24.5703125" style="8" customWidth="1"/>
    <col min="41" max="16384" width="11.42578125" style="8"/>
  </cols>
  <sheetData>
    <row r="1" spans="1:40" s="37" customFormat="1" ht="58.5" customHeight="1" x14ac:dyDescent="0.3">
      <c r="A1" s="36" t="s">
        <v>304</v>
      </c>
      <c r="B1" s="66" t="s">
        <v>305</v>
      </c>
      <c r="C1" s="66" t="s">
        <v>308</v>
      </c>
      <c r="D1" s="366" t="s">
        <v>306</v>
      </c>
      <c r="E1" s="58" t="s">
        <v>304</v>
      </c>
      <c r="F1" s="59" t="s">
        <v>305</v>
      </c>
      <c r="G1" s="58" t="s">
        <v>308</v>
      </c>
      <c r="H1" s="349" t="s">
        <v>306</v>
      </c>
      <c r="I1" s="60" t="s">
        <v>307</v>
      </c>
      <c r="J1" s="60" t="s">
        <v>311</v>
      </c>
      <c r="K1" s="62" t="s">
        <v>312</v>
      </c>
      <c r="L1" s="60" t="s">
        <v>306</v>
      </c>
      <c r="M1" s="65" t="s">
        <v>310</v>
      </c>
      <c r="N1" s="147" t="s">
        <v>312</v>
      </c>
      <c r="O1" s="352" t="s">
        <v>306</v>
      </c>
      <c r="P1" s="61"/>
      <c r="Q1" s="205"/>
      <c r="R1" s="206"/>
      <c r="S1" s="61"/>
      <c r="T1" s="61"/>
      <c r="U1" s="61"/>
      <c r="V1" s="61"/>
      <c r="W1" s="61"/>
      <c r="X1" s="354"/>
      <c r="Y1" s="354"/>
      <c r="Z1" s="23"/>
      <c r="AC1" s="252"/>
      <c r="AD1" s="254"/>
      <c r="AE1" s="252"/>
      <c r="AF1" s="253"/>
      <c r="AG1" s="252"/>
      <c r="AH1" s="252"/>
      <c r="AI1" s="311"/>
      <c r="AJ1" s="253"/>
      <c r="AK1" s="252"/>
      <c r="AL1" s="252"/>
      <c r="AM1" s="238"/>
    </row>
    <row r="2" spans="1:40" s="202" customFormat="1" ht="147" customHeight="1" x14ac:dyDescent="0.25">
      <c r="A2" s="214" t="s">
        <v>191</v>
      </c>
      <c r="B2" s="215">
        <v>1603655553</v>
      </c>
      <c r="C2" s="216">
        <f>SUM(AC6:AC82)</f>
        <v>1603655553</v>
      </c>
      <c r="D2" s="353">
        <f>B2-C2</f>
        <v>0</v>
      </c>
      <c r="E2" s="218" t="s">
        <v>192</v>
      </c>
      <c r="F2" s="215">
        <v>617069569</v>
      </c>
      <c r="G2" s="217">
        <f>SUM(AC83:AC114)</f>
        <v>617069569</v>
      </c>
      <c r="H2" s="350">
        <f>F2-G2</f>
        <v>0</v>
      </c>
      <c r="I2" s="218" t="s">
        <v>309</v>
      </c>
      <c r="J2" s="219">
        <v>745578147</v>
      </c>
      <c r="K2" s="219">
        <f>SUBTOTAL(9,P115:P173)</f>
        <v>745578147</v>
      </c>
      <c r="L2" s="220">
        <f>J2-K2</f>
        <v>0</v>
      </c>
      <c r="M2" s="221">
        <v>146497059</v>
      </c>
      <c r="N2" s="221">
        <f>SUM(AC174:AC179)</f>
        <v>159303896</v>
      </c>
      <c r="O2" s="353">
        <f>M2-N2</f>
        <v>-12806837</v>
      </c>
      <c r="Q2" s="222"/>
      <c r="X2" s="254"/>
      <c r="Y2" s="254"/>
      <c r="Z2" s="223"/>
      <c r="AC2" s="254"/>
      <c r="AD2" s="376"/>
      <c r="AE2" s="254"/>
      <c r="AF2" s="255"/>
      <c r="AG2" s="254"/>
      <c r="AH2" s="254"/>
      <c r="AI2" s="312"/>
      <c r="AJ2" s="255"/>
      <c r="AK2" s="254"/>
      <c r="AL2" s="254"/>
      <c r="AM2" s="238"/>
    </row>
    <row r="3" spans="1:40" s="63" customFormat="1" ht="63.75" customHeight="1" x14ac:dyDescent="0.25">
      <c r="A3" s="186"/>
      <c r="B3" s="187"/>
      <c r="C3" s="188"/>
      <c r="D3" s="365"/>
      <c r="E3" s="189"/>
      <c r="F3" s="187"/>
      <c r="G3" s="190"/>
      <c r="H3" s="351"/>
      <c r="I3" s="189"/>
      <c r="J3" s="191"/>
      <c r="K3" s="191"/>
      <c r="O3" s="64"/>
      <c r="P3" s="192"/>
      <c r="Q3" s="190"/>
      <c r="S3" s="190"/>
      <c r="X3" s="256"/>
      <c r="Y3" s="256"/>
      <c r="AB3" s="64"/>
      <c r="AC3" s="256"/>
      <c r="AD3" s="256"/>
      <c r="AE3" s="256"/>
      <c r="AF3" s="257"/>
      <c r="AG3" s="256"/>
      <c r="AH3" s="256"/>
      <c r="AI3" s="313"/>
      <c r="AJ3" s="257"/>
      <c r="AK3" s="256"/>
      <c r="AL3" s="256"/>
      <c r="AM3" s="239"/>
    </row>
    <row r="4" spans="1:40" ht="81" customHeight="1" x14ac:dyDescent="0.2">
      <c r="A4" s="422" t="s">
        <v>437</v>
      </c>
      <c r="B4" s="423"/>
      <c r="C4" s="423"/>
      <c r="D4" s="424"/>
      <c r="E4" s="423"/>
      <c r="F4" s="423"/>
      <c r="G4" s="423"/>
      <c r="H4" s="424"/>
      <c r="I4" s="423"/>
      <c r="J4" s="423"/>
      <c r="K4" s="423"/>
      <c r="L4" s="423"/>
      <c r="M4" s="423"/>
      <c r="N4" s="423"/>
      <c r="O4" s="424"/>
      <c r="P4" s="422"/>
      <c r="Q4" s="423"/>
      <c r="R4" s="423"/>
      <c r="S4" s="423"/>
      <c r="T4" s="423"/>
      <c r="U4" s="423"/>
      <c r="V4" s="423"/>
      <c r="W4" s="423"/>
      <c r="X4" s="424"/>
      <c r="Y4" s="425"/>
      <c r="Z4" s="423"/>
      <c r="AA4" s="423"/>
      <c r="AB4" s="423"/>
      <c r="AC4" s="424"/>
      <c r="AD4" s="424"/>
      <c r="AE4" s="424"/>
      <c r="AF4" s="424"/>
      <c r="AG4" s="422"/>
      <c r="AH4" s="422"/>
      <c r="AI4" s="426"/>
      <c r="AJ4" s="422"/>
      <c r="AK4" s="422"/>
      <c r="AL4" s="422"/>
      <c r="AM4" s="426"/>
      <c r="AN4" s="422"/>
    </row>
    <row r="5" spans="1:40" s="37" customFormat="1" ht="93.75" customHeight="1" x14ac:dyDescent="0.25">
      <c r="A5" s="334" t="s">
        <v>34</v>
      </c>
      <c r="B5" s="334" t="s">
        <v>130</v>
      </c>
      <c r="C5" s="334" t="s">
        <v>35</v>
      </c>
      <c r="D5" s="334" t="s">
        <v>488</v>
      </c>
      <c r="E5" s="334" t="s">
        <v>33</v>
      </c>
      <c r="F5" s="334" t="s">
        <v>131</v>
      </c>
      <c r="G5" s="334" t="s">
        <v>132</v>
      </c>
      <c r="H5" s="334" t="s">
        <v>36</v>
      </c>
      <c r="I5" s="334" t="s">
        <v>2</v>
      </c>
      <c r="J5" s="335" t="s">
        <v>245</v>
      </c>
      <c r="K5" s="335" t="s">
        <v>3</v>
      </c>
      <c r="L5" s="335" t="s">
        <v>4</v>
      </c>
      <c r="M5" s="335" t="s">
        <v>206</v>
      </c>
      <c r="N5" s="335" t="s">
        <v>133</v>
      </c>
      <c r="O5" s="335" t="s">
        <v>5</v>
      </c>
      <c r="P5" s="336" t="s">
        <v>138</v>
      </c>
      <c r="Q5" s="335" t="s">
        <v>134</v>
      </c>
      <c r="R5" s="335" t="s">
        <v>135</v>
      </c>
      <c r="S5" s="335" t="s">
        <v>136</v>
      </c>
      <c r="T5" s="335" t="s">
        <v>137</v>
      </c>
      <c r="U5" s="335" t="s">
        <v>6</v>
      </c>
      <c r="V5" s="335" t="s">
        <v>7</v>
      </c>
      <c r="W5" s="335" t="s">
        <v>8</v>
      </c>
      <c r="X5" s="337" t="s">
        <v>9</v>
      </c>
      <c r="Y5" s="337" t="s">
        <v>10</v>
      </c>
      <c r="Z5" s="337" t="s">
        <v>139</v>
      </c>
      <c r="AA5" s="337" t="s">
        <v>140</v>
      </c>
      <c r="AB5" s="337" t="s">
        <v>141</v>
      </c>
      <c r="AC5" s="338" t="s">
        <v>410</v>
      </c>
      <c r="AD5" s="355" t="s">
        <v>411</v>
      </c>
      <c r="AE5" s="355" t="s">
        <v>412</v>
      </c>
      <c r="AF5" s="356" t="s">
        <v>413</v>
      </c>
      <c r="AG5" s="339" t="s">
        <v>414</v>
      </c>
      <c r="AH5" s="339" t="s">
        <v>415</v>
      </c>
      <c r="AI5" s="340" t="s">
        <v>416</v>
      </c>
      <c r="AJ5" s="341" t="s">
        <v>417</v>
      </c>
      <c r="AK5" s="342" t="s">
        <v>418</v>
      </c>
      <c r="AL5" s="342" t="s">
        <v>419</v>
      </c>
      <c r="AM5" s="343" t="s">
        <v>420</v>
      </c>
      <c r="AN5" s="317" t="s">
        <v>421</v>
      </c>
    </row>
    <row r="6" spans="1:40" ht="136.5" customHeight="1" x14ac:dyDescent="0.2">
      <c r="A6" s="169" t="s">
        <v>119</v>
      </c>
      <c r="B6" s="344" t="s">
        <v>191</v>
      </c>
      <c r="C6" s="72" t="s">
        <v>338</v>
      </c>
      <c r="D6" s="345" t="s">
        <v>120</v>
      </c>
      <c r="E6" s="5" t="s">
        <v>253</v>
      </c>
      <c r="F6" s="7" t="s">
        <v>254</v>
      </c>
      <c r="G6" s="44" t="s">
        <v>402</v>
      </c>
      <c r="H6" s="44" t="s">
        <v>573</v>
      </c>
      <c r="I6" s="7">
        <v>80111600</v>
      </c>
      <c r="J6" s="7">
        <v>1</v>
      </c>
      <c r="K6" s="7">
        <v>1</v>
      </c>
      <c r="L6" s="7">
        <v>11</v>
      </c>
      <c r="M6" s="7">
        <v>1</v>
      </c>
      <c r="N6" s="7" t="s">
        <v>25</v>
      </c>
      <c r="O6" s="199" t="s">
        <v>330</v>
      </c>
      <c r="P6" s="198">
        <f>3318115*11</f>
        <v>36499265</v>
      </c>
      <c r="Q6" s="7">
        <v>0</v>
      </c>
      <c r="R6" s="7">
        <v>0</v>
      </c>
      <c r="S6" s="7" t="s">
        <v>331</v>
      </c>
      <c r="T6" s="7" t="s">
        <v>332</v>
      </c>
      <c r="U6" s="7" t="s">
        <v>572</v>
      </c>
      <c r="V6" s="7">
        <v>3846666</v>
      </c>
      <c r="W6" s="7" t="s">
        <v>190</v>
      </c>
      <c r="X6" s="7" t="s">
        <v>524</v>
      </c>
      <c r="Y6" s="7" t="s">
        <v>266</v>
      </c>
      <c r="Z6" s="7"/>
      <c r="AA6" s="7"/>
      <c r="AB6" s="7"/>
      <c r="AC6" s="144">
        <f>P6+Z6+AA6-AB6</f>
        <v>36499265</v>
      </c>
      <c r="AD6" s="203">
        <v>19323</v>
      </c>
      <c r="AE6" s="346">
        <v>21678358</v>
      </c>
      <c r="AF6" s="346">
        <f>+AC6-AE6</f>
        <v>14820907</v>
      </c>
      <c r="AG6" s="263">
        <v>21323</v>
      </c>
      <c r="AH6" s="266">
        <v>45092</v>
      </c>
      <c r="AI6" s="268">
        <v>21678358</v>
      </c>
      <c r="AJ6" s="279">
        <f>+AC6-AI6</f>
        <v>14820907</v>
      </c>
      <c r="AK6" s="263" t="s">
        <v>791</v>
      </c>
      <c r="AL6" s="267" t="s">
        <v>790</v>
      </c>
      <c r="AM6" s="374"/>
      <c r="AN6" s="245"/>
    </row>
    <row r="7" spans="1:40" ht="129" customHeight="1" x14ac:dyDescent="0.2">
      <c r="A7" s="169" t="s">
        <v>119</v>
      </c>
      <c r="B7" s="344" t="s">
        <v>191</v>
      </c>
      <c r="C7" s="72" t="s">
        <v>338</v>
      </c>
      <c r="D7" s="345" t="s">
        <v>120</v>
      </c>
      <c r="E7" s="5" t="s">
        <v>253</v>
      </c>
      <c r="F7" s="19" t="s">
        <v>254</v>
      </c>
      <c r="G7" s="24" t="s">
        <v>244</v>
      </c>
      <c r="H7" s="24" t="s">
        <v>246</v>
      </c>
      <c r="I7" s="19">
        <v>80111600</v>
      </c>
      <c r="J7" s="19">
        <v>1</v>
      </c>
      <c r="K7" s="19">
        <v>1</v>
      </c>
      <c r="L7" s="19">
        <v>11</v>
      </c>
      <c r="M7" s="19">
        <v>1</v>
      </c>
      <c r="N7" s="19" t="s">
        <v>25</v>
      </c>
      <c r="O7" s="195" t="s">
        <v>330</v>
      </c>
      <c r="P7" s="196">
        <f t="shared" ref="P7" si="0">3318115*11</f>
        <v>36499265</v>
      </c>
      <c r="Q7" s="19">
        <v>0</v>
      </c>
      <c r="R7" s="19">
        <v>0</v>
      </c>
      <c r="S7" s="19" t="s">
        <v>331</v>
      </c>
      <c r="T7" s="19" t="s">
        <v>332</v>
      </c>
      <c r="U7" s="25" t="s">
        <v>572</v>
      </c>
      <c r="V7" s="25">
        <v>3846666</v>
      </c>
      <c r="W7" s="28" t="s">
        <v>190</v>
      </c>
      <c r="X7" s="25" t="s">
        <v>524</v>
      </c>
      <c r="Y7" s="25" t="s">
        <v>266</v>
      </c>
      <c r="Z7" s="25"/>
      <c r="AA7" s="25"/>
      <c r="AB7" s="25"/>
      <c r="AC7" s="150">
        <f t="shared" ref="AC7:AC81" si="1">P7+Z7+AA7-AB7</f>
        <v>36499265</v>
      </c>
      <c r="AD7" s="203" t="s">
        <v>580</v>
      </c>
      <c r="AE7" s="346">
        <f>11170991-4534759+26434324</f>
        <v>33070556</v>
      </c>
      <c r="AF7" s="346">
        <f t="shared" ref="AF7:AF80" si="2">+AC7-AE7</f>
        <v>3428709</v>
      </c>
      <c r="AG7" s="347" t="s">
        <v>596</v>
      </c>
      <c r="AH7" s="277" t="s">
        <v>597</v>
      </c>
      <c r="AI7" s="275">
        <f>11170991-4534759+26434324</f>
        <v>33070556</v>
      </c>
      <c r="AJ7" s="279">
        <f t="shared" ref="AJ7:AJ80" si="3">+AC7-AI7</f>
        <v>3428709</v>
      </c>
      <c r="AK7" s="267" t="s">
        <v>599</v>
      </c>
      <c r="AL7" s="348" t="s">
        <v>598</v>
      </c>
      <c r="AM7" s="384">
        <f>1216643+3318116+2101473+3207512</f>
        <v>9843744</v>
      </c>
      <c r="AN7" s="12"/>
    </row>
    <row r="8" spans="1:40" ht="129" customHeight="1" x14ac:dyDescent="0.2">
      <c r="A8" s="193" t="s">
        <v>119</v>
      </c>
      <c r="B8" s="177" t="s">
        <v>191</v>
      </c>
      <c r="C8" s="178" t="s">
        <v>338</v>
      </c>
      <c r="D8" s="179" t="s">
        <v>120</v>
      </c>
      <c r="E8" s="39" t="s">
        <v>253</v>
      </c>
      <c r="F8" s="41" t="s">
        <v>254</v>
      </c>
      <c r="G8" s="323" t="s">
        <v>244</v>
      </c>
      <c r="H8" s="323" t="s">
        <v>246</v>
      </c>
      <c r="I8" s="41">
        <v>80111600</v>
      </c>
      <c r="J8" s="41">
        <v>1</v>
      </c>
      <c r="K8" s="41">
        <v>1</v>
      </c>
      <c r="L8" s="41">
        <v>11</v>
      </c>
      <c r="M8" s="41">
        <v>1</v>
      </c>
      <c r="N8" s="41" t="s">
        <v>25</v>
      </c>
      <c r="O8" s="324" t="s">
        <v>330</v>
      </c>
      <c r="P8" s="325">
        <v>23371519</v>
      </c>
      <c r="Q8" s="41">
        <v>0</v>
      </c>
      <c r="R8" s="41">
        <v>0</v>
      </c>
      <c r="S8" s="41" t="s">
        <v>331</v>
      </c>
      <c r="T8" s="41" t="s">
        <v>332</v>
      </c>
      <c r="U8" s="326" t="s">
        <v>572</v>
      </c>
      <c r="V8" s="326">
        <v>3846666</v>
      </c>
      <c r="W8" s="327" t="s">
        <v>190</v>
      </c>
      <c r="X8" s="326" t="s">
        <v>524</v>
      </c>
      <c r="Y8" s="326" t="s">
        <v>266</v>
      </c>
      <c r="Z8" s="326"/>
      <c r="AA8" s="326"/>
      <c r="AB8" s="326"/>
      <c r="AC8" s="328">
        <f t="shared" si="1"/>
        <v>23371519</v>
      </c>
      <c r="AD8" s="329" t="s">
        <v>581</v>
      </c>
      <c r="AE8" s="224">
        <f>11170991-4313551+16514079</f>
        <v>23371519</v>
      </c>
      <c r="AF8" s="224">
        <f t="shared" si="2"/>
        <v>0</v>
      </c>
      <c r="AG8" s="330" t="s">
        <v>600</v>
      </c>
      <c r="AH8" s="331" t="s">
        <v>597</v>
      </c>
      <c r="AI8" s="315">
        <f>11170991-4313551+16514079</f>
        <v>23371519</v>
      </c>
      <c r="AJ8" s="262">
        <f t="shared" si="3"/>
        <v>0</v>
      </c>
      <c r="AK8" s="332" t="s">
        <v>601</v>
      </c>
      <c r="AL8" s="332" t="s">
        <v>603</v>
      </c>
      <c r="AM8" s="385">
        <f>1216643+3318116+2322681+3207512</f>
        <v>10064952</v>
      </c>
      <c r="AN8" s="333"/>
    </row>
    <row r="9" spans="1:40" ht="129" customHeight="1" x14ac:dyDescent="0.2">
      <c r="A9" s="194" t="s">
        <v>119</v>
      </c>
      <c r="B9" s="70" t="s">
        <v>191</v>
      </c>
      <c r="C9" s="72" t="s">
        <v>338</v>
      </c>
      <c r="D9" s="74" t="s">
        <v>120</v>
      </c>
      <c r="E9" s="5" t="s">
        <v>253</v>
      </c>
      <c r="F9" s="19" t="s">
        <v>254</v>
      </c>
      <c r="G9" s="24" t="s">
        <v>244</v>
      </c>
      <c r="H9" s="24" t="s">
        <v>246</v>
      </c>
      <c r="I9" s="19">
        <v>80111600</v>
      </c>
      <c r="J9" s="19">
        <v>1</v>
      </c>
      <c r="K9" s="19">
        <v>11</v>
      </c>
      <c r="L9" s="19">
        <v>1</v>
      </c>
      <c r="M9" s="19">
        <v>1</v>
      </c>
      <c r="N9" s="19" t="s">
        <v>25</v>
      </c>
      <c r="O9" s="195" t="s">
        <v>406</v>
      </c>
      <c r="P9" s="198">
        <v>13127746</v>
      </c>
      <c r="Q9" s="19">
        <v>0</v>
      </c>
      <c r="R9" s="19">
        <v>0</v>
      </c>
      <c r="S9" s="19" t="s">
        <v>331</v>
      </c>
      <c r="T9" s="19" t="s">
        <v>332</v>
      </c>
      <c r="U9" s="25" t="s">
        <v>572</v>
      </c>
      <c r="V9" s="25">
        <v>3846666</v>
      </c>
      <c r="W9" s="28" t="s">
        <v>190</v>
      </c>
      <c r="X9" s="25" t="s">
        <v>524</v>
      </c>
      <c r="Y9" s="25" t="s">
        <v>266</v>
      </c>
      <c r="Z9" s="25"/>
      <c r="AA9" s="25"/>
      <c r="AB9" s="25"/>
      <c r="AC9" s="150">
        <f t="shared" si="1"/>
        <v>13127746</v>
      </c>
      <c r="AD9" s="203">
        <v>12223</v>
      </c>
      <c r="AE9" s="225">
        <v>9920245</v>
      </c>
      <c r="AF9" s="224">
        <f t="shared" si="2"/>
        <v>3207501</v>
      </c>
      <c r="AG9" s="263">
        <v>13623</v>
      </c>
      <c r="AH9" s="266">
        <v>45048</v>
      </c>
      <c r="AI9" s="315">
        <v>9920245</v>
      </c>
      <c r="AJ9" s="262">
        <f t="shared" si="3"/>
        <v>3207501</v>
      </c>
      <c r="AK9" s="263" t="s">
        <v>602</v>
      </c>
      <c r="AL9" s="263" t="s">
        <v>604</v>
      </c>
      <c r="AM9" s="258"/>
      <c r="AN9" s="245"/>
    </row>
    <row r="10" spans="1:40" ht="110.25" customHeight="1" x14ac:dyDescent="0.2">
      <c r="A10" s="194" t="s">
        <v>119</v>
      </c>
      <c r="B10" s="70" t="s">
        <v>191</v>
      </c>
      <c r="C10" s="72" t="s">
        <v>338</v>
      </c>
      <c r="D10" s="74" t="s">
        <v>120</v>
      </c>
      <c r="E10" s="5" t="s">
        <v>253</v>
      </c>
      <c r="F10" s="19" t="s">
        <v>254</v>
      </c>
      <c r="G10" s="24" t="s">
        <v>244</v>
      </c>
      <c r="H10" s="24" t="s">
        <v>247</v>
      </c>
      <c r="I10" s="19" t="s">
        <v>1</v>
      </c>
      <c r="J10" s="19" t="s">
        <v>1</v>
      </c>
      <c r="K10" s="19" t="s">
        <v>1</v>
      </c>
      <c r="L10" s="19" t="s">
        <v>1</v>
      </c>
      <c r="M10" s="19" t="s">
        <v>1</v>
      </c>
      <c r="N10" s="19" t="s">
        <v>45</v>
      </c>
      <c r="O10" s="195" t="s">
        <v>405</v>
      </c>
      <c r="P10" s="196">
        <v>19903500</v>
      </c>
      <c r="Q10" s="19">
        <v>0</v>
      </c>
      <c r="R10" s="19">
        <v>0</v>
      </c>
      <c r="S10" s="19" t="s">
        <v>331</v>
      </c>
      <c r="T10" s="19" t="s">
        <v>332</v>
      </c>
      <c r="U10" s="25" t="s">
        <v>572</v>
      </c>
      <c r="V10" s="25">
        <v>3846667</v>
      </c>
      <c r="W10" s="28" t="s">
        <v>190</v>
      </c>
      <c r="X10" s="25" t="s">
        <v>267</v>
      </c>
      <c r="Y10" s="25" t="s">
        <v>1</v>
      </c>
      <c r="Z10" s="25"/>
      <c r="AA10" s="25"/>
      <c r="AB10" s="373">
        <v>5000000</v>
      </c>
      <c r="AC10" s="150">
        <f t="shared" si="1"/>
        <v>14903500</v>
      </c>
      <c r="AD10" s="308" t="s">
        <v>779</v>
      </c>
      <c r="AE10" s="235">
        <f>149432+149432+149432+1344884+747158+1037646+1037646-1037646+891752+693585+1037646-693585+891752+891752+1046021+152929</f>
        <v>8489836</v>
      </c>
      <c r="AF10" s="236">
        <f>+AC10-AE10</f>
        <v>6413664</v>
      </c>
      <c r="AG10" s="274" t="s">
        <v>800</v>
      </c>
      <c r="AH10" s="277" t="s">
        <v>803</v>
      </c>
      <c r="AI10" s="300">
        <f>149432+149432+149432+747158+891752+1037646+1037646+1344884+891752+1046021+891752+152929</f>
        <v>8489836</v>
      </c>
      <c r="AJ10" s="262">
        <f t="shared" si="3"/>
        <v>6413664</v>
      </c>
      <c r="AK10" s="263" t="s">
        <v>267</v>
      </c>
      <c r="AL10" s="267" t="s">
        <v>804</v>
      </c>
      <c r="AM10" s="386">
        <f>149432+149432+149432+747158+891752+1037646+1037646+1344884+891752+891752+1046021+152929</f>
        <v>8489836</v>
      </c>
      <c r="AN10" s="243" t="s">
        <v>588</v>
      </c>
    </row>
    <row r="11" spans="1:40" ht="110.25" customHeight="1" x14ac:dyDescent="0.2">
      <c r="A11" s="194" t="s">
        <v>119</v>
      </c>
      <c r="B11" s="70" t="s">
        <v>191</v>
      </c>
      <c r="C11" s="72" t="s">
        <v>338</v>
      </c>
      <c r="D11" s="74" t="s">
        <v>120</v>
      </c>
      <c r="E11" s="5" t="s">
        <v>253</v>
      </c>
      <c r="F11" s="19" t="s">
        <v>254</v>
      </c>
      <c r="G11" s="24" t="s">
        <v>244</v>
      </c>
      <c r="H11" s="24" t="s">
        <v>609</v>
      </c>
      <c r="I11" s="19" t="s">
        <v>1</v>
      </c>
      <c r="J11" s="19" t="s">
        <v>1</v>
      </c>
      <c r="K11" s="19" t="s">
        <v>1</v>
      </c>
      <c r="L11" s="19" t="s">
        <v>1</v>
      </c>
      <c r="M11" s="19" t="s">
        <v>1</v>
      </c>
      <c r="N11" s="19" t="s">
        <v>45</v>
      </c>
      <c r="O11" s="195" t="s">
        <v>405</v>
      </c>
      <c r="P11" s="196">
        <v>0</v>
      </c>
      <c r="Q11" s="19">
        <v>0</v>
      </c>
      <c r="R11" s="19">
        <v>0</v>
      </c>
      <c r="S11" s="19" t="s">
        <v>331</v>
      </c>
      <c r="T11" s="19" t="s">
        <v>332</v>
      </c>
      <c r="U11" s="25" t="s">
        <v>572</v>
      </c>
      <c r="V11" s="25">
        <v>3846667</v>
      </c>
      <c r="W11" s="28" t="s">
        <v>190</v>
      </c>
      <c r="X11" s="25" t="s">
        <v>267</v>
      </c>
      <c r="Y11" s="25" t="s">
        <v>1</v>
      </c>
      <c r="Z11" s="373">
        <v>5000000</v>
      </c>
      <c r="AA11" s="25"/>
      <c r="AB11" s="25"/>
      <c r="AC11" s="150">
        <f t="shared" ref="AC11" si="4">P11+Z11+AA11-AB11</f>
        <v>5000000</v>
      </c>
      <c r="AD11" s="308">
        <v>20223</v>
      </c>
      <c r="AE11" s="235">
        <v>1189350</v>
      </c>
      <c r="AF11" s="236">
        <f>+AC11-AE11</f>
        <v>3810650</v>
      </c>
      <c r="AG11" s="265"/>
      <c r="AH11" s="393"/>
      <c r="AI11" s="392"/>
      <c r="AJ11" s="258">
        <f t="shared" ref="AJ11" si="5">+AC11-AI11</f>
        <v>5000000</v>
      </c>
      <c r="AK11" s="265" t="s">
        <v>267</v>
      </c>
      <c r="AL11" s="246"/>
      <c r="AM11" s="394"/>
      <c r="AN11" s="243" t="s">
        <v>588</v>
      </c>
    </row>
    <row r="12" spans="1:40" ht="110.25" customHeight="1" x14ac:dyDescent="0.2">
      <c r="A12" s="194" t="s">
        <v>119</v>
      </c>
      <c r="B12" s="70" t="s">
        <v>191</v>
      </c>
      <c r="C12" s="72" t="s">
        <v>338</v>
      </c>
      <c r="D12" s="74" t="s">
        <v>120</v>
      </c>
      <c r="E12" s="5" t="s">
        <v>253</v>
      </c>
      <c r="F12" s="19" t="s">
        <v>254</v>
      </c>
      <c r="G12" s="24" t="s">
        <v>244</v>
      </c>
      <c r="H12" s="24" t="s">
        <v>248</v>
      </c>
      <c r="I12" s="19" t="s">
        <v>1</v>
      </c>
      <c r="J12" s="19" t="s">
        <v>1</v>
      </c>
      <c r="K12" s="19" t="s">
        <v>1</v>
      </c>
      <c r="L12" s="19" t="s">
        <v>1</v>
      </c>
      <c r="M12" s="19" t="s">
        <v>1</v>
      </c>
      <c r="N12" s="19" t="s">
        <v>45</v>
      </c>
      <c r="O12" s="195" t="s">
        <v>330</v>
      </c>
      <c r="P12" s="196">
        <v>5920000</v>
      </c>
      <c r="Q12" s="19">
        <v>0</v>
      </c>
      <c r="R12" s="19">
        <v>0</v>
      </c>
      <c r="S12" s="19" t="s">
        <v>331</v>
      </c>
      <c r="T12" s="19" t="s">
        <v>332</v>
      </c>
      <c r="U12" s="25" t="s">
        <v>572</v>
      </c>
      <c r="V12" s="25">
        <v>3846668</v>
      </c>
      <c r="W12" s="28" t="s">
        <v>190</v>
      </c>
      <c r="X12" s="25" t="s">
        <v>269</v>
      </c>
      <c r="Y12" s="25" t="s">
        <v>1</v>
      </c>
      <c r="Z12" s="25"/>
      <c r="AA12" s="25"/>
      <c r="AB12" s="25"/>
      <c r="AC12" s="150">
        <f t="shared" si="1"/>
        <v>5920000</v>
      </c>
      <c r="AD12" s="308" t="s">
        <v>751</v>
      </c>
      <c r="AE12" s="235">
        <f>20000+10000+36000+100000+162000+200000+220000-200000+140000+200000+240000+260000-240000+240000+280000+128000+170000</f>
        <v>1966000</v>
      </c>
      <c r="AF12" s="236">
        <f t="shared" si="2"/>
        <v>3954000</v>
      </c>
      <c r="AG12" s="274" t="s">
        <v>737</v>
      </c>
      <c r="AH12" s="277" t="s">
        <v>738</v>
      </c>
      <c r="AI12" s="300">
        <f>20000+10000+36000+100000+240000+220000+260000+302000+200000+128000+280000</f>
        <v>1796000</v>
      </c>
      <c r="AJ12" s="262">
        <f t="shared" si="3"/>
        <v>4124000</v>
      </c>
      <c r="AK12" s="267" t="s">
        <v>546</v>
      </c>
      <c r="AL12" s="267" t="s">
        <v>681</v>
      </c>
      <c r="AM12" s="386">
        <f>20000+36000+10000+100000+240000+220000+260000+302000+200000-4000+280000+128000</f>
        <v>1792000</v>
      </c>
      <c r="AN12" s="12"/>
    </row>
    <row r="13" spans="1:40" ht="110.25" customHeight="1" x14ac:dyDescent="0.2">
      <c r="A13" s="194" t="s">
        <v>119</v>
      </c>
      <c r="B13" s="70" t="s">
        <v>191</v>
      </c>
      <c r="C13" s="72" t="s">
        <v>338</v>
      </c>
      <c r="D13" s="74" t="s">
        <v>120</v>
      </c>
      <c r="E13" s="5" t="s">
        <v>253</v>
      </c>
      <c r="F13" s="19" t="s">
        <v>254</v>
      </c>
      <c r="G13" s="24" t="s">
        <v>244</v>
      </c>
      <c r="H13" s="24" t="s">
        <v>121</v>
      </c>
      <c r="I13" s="19">
        <v>78111502</v>
      </c>
      <c r="J13" s="19">
        <v>3</v>
      </c>
      <c r="K13" s="19">
        <v>3</v>
      </c>
      <c r="L13" s="19">
        <v>9</v>
      </c>
      <c r="M13" s="19">
        <v>1</v>
      </c>
      <c r="N13" s="19" t="s">
        <v>25</v>
      </c>
      <c r="O13" s="195" t="s">
        <v>330</v>
      </c>
      <c r="P13" s="196">
        <v>12000000</v>
      </c>
      <c r="Q13" s="19">
        <v>0</v>
      </c>
      <c r="R13" s="19">
        <v>0</v>
      </c>
      <c r="S13" s="19" t="s">
        <v>331</v>
      </c>
      <c r="T13" s="19" t="s">
        <v>332</v>
      </c>
      <c r="U13" s="25" t="s">
        <v>572</v>
      </c>
      <c r="V13" s="25">
        <v>3846666</v>
      </c>
      <c r="W13" s="28" t="s">
        <v>190</v>
      </c>
      <c r="X13" s="25" t="s">
        <v>268</v>
      </c>
      <c r="Y13" s="25" t="s">
        <v>41</v>
      </c>
      <c r="Z13" s="25"/>
      <c r="AA13" s="25"/>
      <c r="AB13" s="25"/>
      <c r="AC13" s="150">
        <f t="shared" si="1"/>
        <v>12000000</v>
      </c>
      <c r="AD13" s="203">
        <v>13423</v>
      </c>
      <c r="AE13" s="225">
        <v>12000000</v>
      </c>
      <c r="AF13" s="224">
        <f t="shared" si="2"/>
        <v>0</v>
      </c>
      <c r="AG13" s="263">
        <v>17523</v>
      </c>
      <c r="AH13" s="266">
        <v>45076</v>
      </c>
      <c r="AI13" s="370">
        <v>12000000</v>
      </c>
      <c r="AJ13" s="262">
        <f t="shared" si="3"/>
        <v>0</v>
      </c>
      <c r="AK13" s="263" t="s">
        <v>661</v>
      </c>
      <c r="AL13" s="267" t="s">
        <v>662</v>
      </c>
      <c r="AM13" s="380"/>
      <c r="AN13" s="245"/>
    </row>
    <row r="14" spans="1:40" ht="126.75" customHeight="1" x14ac:dyDescent="0.2">
      <c r="A14" s="194" t="s">
        <v>119</v>
      </c>
      <c r="B14" s="70" t="s">
        <v>191</v>
      </c>
      <c r="C14" s="72" t="s">
        <v>338</v>
      </c>
      <c r="D14" s="74" t="s">
        <v>120</v>
      </c>
      <c r="E14" s="5" t="s">
        <v>253</v>
      </c>
      <c r="F14" s="40" t="s">
        <v>255</v>
      </c>
      <c r="G14" s="42" t="s">
        <v>261</v>
      </c>
      <c r="H14" s="42" t="s">
        <v>249</v>
      </c>
      <c r="I14" s="40">
        <v>80111600</v>
      </c>
      <c r="J14" s="40">
        <v>1</v>
      </c>
      <c r="K14" s="40">
        <v>1</v>
      </c>
      <c r="L14" s="40">
        <v>11</v>
      </c>
      <c r="M14" s="40">
        <v>1</v>
      </c>
      <c r="N14" s="40" t="s">
        <v>25</v>
      </c>
      <c r="O14" s="195" t="s">
        <v>330</v>
      </c>
      <c r="P14" s="196">
        <f t="shared" ref="P14:P23" si="6">3318115*11</f>
        <v>36499265</v>
      </c>
      <c r="Q14" s="93">
        <v>0</v>
      </c>
      <c r="R14" s="93">
        <v>0</v>
      </c>
      <c r="S14" s="93" t="s">
        <v>331</v>
      </c>
      <c r="T14" s="93" t="s">
        <v>332</v>
      </c>
      <c r="U14" s="71" t="s">
        <v>572</v>
      </c>
      <c r="V14" s="71">
        <v>3846666</v>
      </c>
      <c r="W14" s="94" t="s">
        <v>190</v>
      </c>
      <c r="X14" s="71" t="s">
        <v>524</v>
      </c>
      <c r="Y14" s="71" t="s">
        <v>490</v>
      </c>
      <c r="Z14" s="71"/>
      <c r="AA14" s="71"/>
      <c r="AB14" s="71"/>
      <c r="AC14" s="163">
        <f t="shared" si="1"/>
        <v>36499265</v>
      </c>
      <c r="AD14" s="203" t="s">
        <v>692</v>
      </c>
      <c r="AE14" s="225">
        <f>11613406-110604+22673793-221208</f>
        <v>33955387</v>
      </c>
      <c r="AF14" s="224">
        <f t="shared" si="2"/>
        <v>2543878</v>
      </c>
      <c r="AG14" s="259" t="s">
        <v>780</v>
      </c>
      <c r="AH14" s="260" t="s">
        <v>781</v>
      </c>
      <c r="AI14" s="261">
        <f>11502802+22452585</f>
        <v>33955387</v>
      </c>
      <c r="AJ14" s="262">
        <f t="shared" si="3"/>
        <v>2543878</v>
      </c>
      <c r="AK14" s="267" t="s">
        <v>782</v>
      </c>
      <c r="AL14" s="264" t="s">
        <v>506</v>
      </c>
      <c r="AM14" s="320">
        <f>1548454+3318116+3318116+3318116</f>
        <v>11502802</v>
      </c>
      <c r="AN14" s="12"/>
    </row>
    <row r="15" spans="1:40" ht="126.75" customHeight="1" x14ac:dyDescent="0.2">
      <c r="A15" s="194" t="s">
        <v>119</v>
      </c>
      <c r="B15" s="70" t="s">
        <v>191</v>
      </c>
      <c r="C15" s="72" t="s">
        <v>338</v>
      </c>
      <c r="D15" s="74" t="s">
        <v>120</v>
      </c>
      <c r="E15" s="5" t="s">
        <v>253</v>
      </c>
      <c r="F15" s="40" t="s">
        <v>255</v>
      </c>
      <c r="G15" s="42" t="s">
        <v>261</v>
      </c>
      <c r="H15" s="42" t="s">
        <v>247</v>
      </c>
      <c r="I15" s="40" t="s">
        <v>1</v>
      </c>
      <c r="J15" s="40" t="s">
        <v>1</v>
      </c>
      <c r="K15" s="40" t="s">
        <v>1</v>
      </c>
      <c r="L15" s="40" t="s">
        <v>1</v>
      </c>
      <c r="M15" s="40" t="s">
        <v>1</v>
      </c>
      <c r="N15" s="40" t="s">
        <v>45</v>
      </c>
      <c r="O15" s="195" t="s">
        <v>405</v>
      </c>
      <c r="P15" s="196">
        <v>7252000</v>
      </c>
      <c r="Q15" s="93">
        <v>0</v>
      </c>
      <c r="R15" s="93">
        <v>0</v>
      </c>
      <c r="S15" s="93" t="s">
        <v>331</v>
      </c>
      <c r="T15" s="93" t="s">
        <v>332</v>
      </c>
      <c r="U15" s="71" t="s">
        <v>572</v>
      </c>
      <c r="V15" s="71">
        <v>3846666</v>
      </c>
      <c r="W15" s="94" t="s">
        <v>190</v>
      </c>
      <c r="X15" s="71" t="s">
        <v>267</v>
      </c>
      <c r="Y15" s="71" t="s">
        <v>1</v>
      </c>
      <c r="Z15" s="71"/>
      <c r="AA15" s="71"/>
      <c r="AB15" s="309">
        <v>3500000</v>
      </c>
      <c r="AC15" s="163">
        <f t="shared" si="1"/>
        <v>3752000</v>
      </c>
      <c r="AD15" s="308" t="s">
        <v>759</v>
      </c>
      <c r="AE15" s="235">
        <f>1191542+1541507</f>
        <v>2733049</v>
      </c>
      <c r="AF15" s="224">
        <f t="shared" si="2"/>
        <v>1018951</v>
      </c>
      <c r="AG15" s="263">
        <v>19223</v>
      </c>
      <c r="AH15" s="277">
        <v>45082</v>
      </c>
      <c r="AI15" s="300">
        <v>1191542</v>
      </c>
      <c r="AJ15" s="262">
        <f t="shared" si="3"/>
        <v>2560458</v>
      </c>
      <c r="AK15" s="263" t="s">
        <v>267</v>
      </c>
      <c r="AL15" s="267" t="s">
        <v>739</v>
      </c>
      <c r="AM15" s="406">
        <v>1191542</v>
      </c>
      <c r="AN15" s="243" t="s">
        <v>588</v>
      </c>
    </row>
    <row r="16" spans="1:40" ht="126.75" customHeight="1" x14ac:dyDescent="0.2">
      <c r="A16" s="194" t="s">
        <v>119</v>
      </c>
      <c r="B16" s="70" t="s">
        <v>191</v>
      </c>
      <c r="C16" s="72" t="s">
        <v>338</v>
      </c>
      <c r="D16" s="74" t="s">
        <v>120</v>
      </c>
      <c r="E16" s="5" t="s">
        <v>253</v>
      </c>
      <c r="F16" s="40" t="s">
        <v>255</v>
      </c>
      <c r="G16" s="42" t="s">
        <v>261</v>
      </c>
      <c r="H16" s="42" t="s">
        <v>609</v>
      </c>
      <c r="I16" s="40" t="s">
        <v>1</v>
      </c>
      <c r="J16" s="40" t="s">
        <v>1</v>
      </c>
      <c r="K16" s="40" t="s">
        <v>1</v>
      </c>
      <c r="L16" s="40" t="s">
        <v>1</v>
      </c>
      <c r="M16" s="40" t="s">
        <v>1</v>
      </c>
      <c r="N16" s="40" t="s">
        <v>45</v>
      </c>
      <c r="O16" s="195" t="s">
        <v>405</v>
      </c>
      <c r="P16" s="196">
        <v>0</v>
      </c>
      <c r="Q16" s="93">
        <v>0</v>
      </c>
      <c r="R16" s="93">
        <v>0</v>
      </c>
      <c r="S16" s="93" t="s">
        <v>331</v>
      </c>
      <c r="T16" s="93" t="s">
        <v>332</v>
      </c>
      <c r="U16" s="71" t="s">
        <v>572</v>
      </c>
      <c r="V16" s="71">
        <v>3846666</v>
      </c>
      <c r="W16" s="94" t="s">
        <v>190</v>
      </c>
      <c r="X16" s="71" t="s">
        <v>267</v>
      </c>
      <c r="Y16" s="71" t="s">
        <v>1</v>
      </c>
      <c r="Z16" s="309">
        <v>3500000</v>
      </c>
      <c r="AA16" s="71"/>
      <c r="AB16" s="71"/>
      <c r="AC16" s="163">
        <f t="shared" ref="AC16" si="7">P16+Z16+AA16-AB16</f>
        <v>3500000</v>
      </c>
      <c r="AD16" s="203">
        <v>20123</v>
      </c>
      <c r="AE16" s="209">
        <v>925050</v>
      </c>
      <c r="AF16" s="224">
        <f t="shared" ref="AF16" si="8">+AC16-AE16</f>
        <v>2574950</v>
      </c>
      <c r="AG16" s="265"/>
      <c r="AH16" s="265"/>
      <c r="AI16" s="314"/>
      <c r="AJ16" s="258">
        <f t="shared" ref="AJ16" si="9">+AC16-AI16</f>
        <v>3500000</v>
      </c>
      <c r="AK16" s="265" t="s">
        <v>267</v>
      </c>
      <c r="AL16" s="265"/>
      <c r="AM16" s="392"/>
      <c r="AN16" s="243" t="s">
        <v>588</v>
      </c>
    </row>
    <row r="17" spans="1:40" ht="126.75" customHeight="1" x14ac:dyDescent="0.2">
      <c r="A17" s="194" t="s">
        <v>119</v>
      </c>
      <c r="B17" s="70" t="s">
        <v>191</v>
      </c>
      <c r="C17" s="72" t="s">
        <v>338</v>
      </c>
      <c r="D17" s="74" t="s">
        <v>120</v>
      </c>
      <c r="E17" s="5" t="s">
        <v>253</v>
      </c>
      <c r="F17" s="40" t="s">
        <v>255</v>
      </c>
      <c r="G17" s="42" t="s">
        <v>261</v>
      </c>
      <c r="H17" s="42" t="s">
        <v>251</v>
      </c>
      <c r="I17" s="40" t="s">
        <v>1</v>
      </c>
      <c r="J17" s="40" t="s">
        <v>1</v>
      </c>
      <c r="K17" s="40" t="s">
        <v>1</v>
      </c>
      <c r="L17" s="40" t="s">
        <v>1</v>
      </c>
      <c r="M17" s="40" t="s">
        <v>1</v>
      </c>
      <c r="N17" s="40" t="s">
        <v>45</v>
      </c>
      <c r="O17" s="195" t="s">
        <v>330</v>
      </c>
      <c r="P17" s="196">
        <v>2960000</v>
      </c>
      <c r="Q17" s="93">
        <v>0</v>
      </c>
      <c r="R17" s="93">
        <v>0</v>
      </c>
      <c r="S17" s="93" t="s">
        <v>331</v>
      </c>
      <c r="T17" s="93" t="s">
        <v>332</v>
      </c>
      <c r="U17" s="71" t="s">
        <v>572</v>
      </c>
      <c r="V17" s="71">
        <v>3846666</v>
      </c>
      <c r="W17" s="94" t="s">
        <v>190</v>
      </c>
      <c r="X17" s="71" t="s">
        <v>269</v>
      </c>
      <c r="Y17" s="71" t="s">
        <v>1</v>
      </c>
      <c r="Z17" s="71"/>
      <c r="AA17" s="71"/>
      <c r="AB17" s="71"/>
      <c r="AC17" s="163">
        <f t="shared" si="1"/>
        <v>2960000</v>
      </c>
      <c r="AD17" s="203" t="s">
        <v>759</v>
      </c>
      <c r="AE17" s="209">
        <f>260000+160000+280000</f>
        <v>700000</v>
      </c>
      <c r="AF17" s="224">
        <f t="shared" si="2"/>
        <v>2260000</v>
      </c>
      <c r="AG17" s="263">
        <v>19223</v>
      </c>
      <c r="AH17" s="266">
        <v>45082</v>
      </c>
      <c r="AI17" s="300">
        <v>260000</v>
      </c>
      <c r="AJ17" s="262">
        <f t="shared" si="3"/>
        <v>2700000</v>
      </c>
      <c r="AK17" s="263" t="s">
        <v>546</v>
      </c>
      <c r="AL17" s="267" t="s">
        <v>739</v>
      </c>
      <c r="AM17" s="406">
        <v>260000</v>
      </c>
      <c r="AN17" s="245"/>
    </row>
    <row r="18" spans="1:40" ht="126.75" customHeight="1" x14ac:dyDescent="0.2">
      <c r="A18" s="194" t="s">
        <v>119</v>
      </c>
      <c r="B18" s="70" t="s">
        <v>191</v>
      </c>
      <c r="C18" s="72" t="s">
        <v>338</v>
      </c>
      <c r="D18" s="74" t="s">
        <v>120</v>
      </c>
      <c r="E18" s="5" t="s">
        <v>253</v>
      </c>
      <c r="F18" s="40" t="s">
        <v>255</v>
      </c>
      <c r="G18" s="42" t="s">
        <v>261</v>
      </c>
      <c r="H18" s="42" t="s">
        <v>121</v>
      </c>
      <c r="I18" s="40">
        <v>78111502</v>
      </c>
      <c r="J18" s="40">
        <v>3</v>
      </c>
      <c r="K18" s="40">
        <v>3</v>
      </c>
      <c r="L18" s="40">
        <v>9</v>
      </c>
      <c r="M18" s="40">
        <v>1</v>
      </c>
      <c r="N18" s="40" t="s">
        <v>25</v>
      </c>
      <c r="O18" s="195" t="s">
        <v>330</v>
      </c>
      <c r="P18" s="196">
        <v>6000000</v>
      </c>
      <c r="Q18" s="93">
        <v>0</v>
      </c>
      <c r="R18" s="93">
        <v>0</v>
      </c>
      <c r="S18" s="93" t="s">
        <v>331</v>
      </c>
      <c r="T18" s="93" t="s">
        <v>332</v>
      </c>
      <c r="U18" s="71" t="s">
        <v>572</v>
      </c>
      <c r="V18" s="71">
        <v>3846666</v>
      </c>
      <c r="W18" s="94" t="s">
        <v>190</v>
      </c>
      <c r="X18" s="71" t="s">
        <v>268</v>
      </c>
      <c r="Y18" s="71" t="s">
        <v>41</v>
      </c>
      <c r="Z18" s="71"/>
      <c r="AA18" s="71"/>
      <c r="AB18" s="71"/>
      <c r="AC18" s="163">
        <f t="shared" si="1"/>
        <v>6000000</v>
      </c>
      <c r="AD18" s="203">
        <v>13423</v>
      </c>
      <c r="AE18" s="225">
        <v>6000000</v>
      </c>
      <c r="AF18" s="224">
        <f t="shared" si="2"/>
        <v>0</v>
      </c>
      <c r="AG18" s="263">
        <v>17523</v>
      </c>
      <c r="AH18" s="266">
        <v>45076</v>
      </c>
      <c r="AI18" s="370">
        <v>6000000</v>
      </c>
      <c r="AJ18" s="262">
        <f t="shared" si="3"/>
        <v>0</v>
      </c>
      <c r="AK18" s="263" t="s">
        <v>661</v>
      </c>
      <c r="AL18" s="267" t="s">
        <v>662</v>
      </c>
      <c r="AM18" s="380"/>
      <c r="AN18" s="245"/>
    </row>
    <row r="19" spans="1:40" ht="87.75" customHeight="1" x14ac:dyDescent="0.2">
      <c r="A19" s="194" t="s">
        <v>119</v>
      </c>
      <c r="B19" s="70" t="s">
        <v>191</v>
      </c>
      <c r="C19" s="72" t="s">
        <v>338</v>
      </c>
      <c r="D19" s="74" t="s">
        <v>120</v>
      </c>
      <c r="E19" s="5" t="s">
        <v>253</v>
      </c>
      <c r="F19" s="40" t="s">
        <v>255</v>
      </c>
      <c r="G19" s="42" t="s">
        <v>261</v>
      </c>
      <c r="H19" s="42" t="s">
        <v>489</v>
      </c>
      <c r="I19" s="40">
        <v>80111600</v>
      </c>
      <c r="J19" s="40" t="s">
        <v>483</v>
      </c>
      <c r="K19" s="40" t="s">
        <v>483</v>
      </c>
      <c r="L19" s="40" t="s">
        <v>491</v>
      </c>
      <c r="M19" s="40">
        <v>1</v>
      </c>
      <c r="N19" s="40" t="s">
        <v>25</v>
      </c>
      <c r="O19" s="195" t="s">
        <v>330</v>
      </c>
      <c r="P19" s="196">
        <f t="shared" si="6"/>
        <v>36499265</v>
      </c>
      <c r="Q19" s="93">
        <v>0</v>
      </c>
      <c r="R19" s="93">
        <v>0</v>
      </c>
      <c r="S19" s="93" t="s">
        <v>331</v>
      </c>
      <c r="T19" s="93" t="s">
        <v>332</v>
      </c>
      <c r="U19" s="71" t="s">
        <v>572</v>
      </c>
      <c r="V19" s="71">
        <v>3846666</v>
      </c>
      <c r="W19" s="94" t="s">
        <v>190</v>
      </c>
      <c r="X19" s="71" t="s">
        <v>178</v>
      </c>
      <c r="Y19" s="71" t="s">
        <v>490</v>
      </c>
      <c r="Z19" s="71"/>
      <c r="AA19" s="71"/>
      <c r="AB19" s="71"/>
      <c r="AC19" s="163">
        <f t="shared" si="1"/>
        <v>36499265</v>
      </c>
      <c r="AD19" s="203" t="s">
        <v>777</v>
      </c>
      <c r="AE19" s="225">
        <f>6663276+12438114-63460-63459</f>
        <v>18974471</v>
      </c>
      <c r="AF19" s="224">
        <f t="shared" si="2"/>
        <v>17524794</v>
      </c>
      <c r="AG19" s="259" t="s">
        <v>797</v>
      </c>
      <c r="AH19" s="260" t="s">
        <v>798</v>
      </c>
      <c r="AI19" s="261">
        <f>6599816+12374655</f>
        <v>18974471</v>
      </c>
      <c r="AJ19" s="262">
        <f t="shared" si="3"/>
        <v>17524794</v>
      </c>
      <c r="AK19" s="267" t="s">
        <v>799</v>
      </c>
      <c r="AL19" s="264" t="s">
        <v>505</v>
      </c>
      <c r="AM19" s="320">
        <f>888437+1903793+1903793+1903793</f>
        <v>6599816</v>
      </c>
      <c r="AN19" s="13" t="s">
        <v>441</v>
      </c>
    </row>
    <row r="20" spans="1:40" ht="245.25" customHeight="1" x14ac:dyDescent="0.2">
      <c r="A20" s="194" t="s">
        <v>119</v>
      </c>
      <c r="B20" s="70" t="s">
        <v>191</v>
      </c>
      <c r="C20" s="72" t="s">
        <v>338</v>
      </c>
      <c r="D20" s="75" t="s">
        <v>120</v>
      </c>
      <c r="E20" s="34" t="s">
        <v>253</v>
      </c>
      <c r="F20" s="42" t="s">
        <v>255</v>
      </c>
      <c r="G20" s="42" t="s">
        <v>261</v>
      </c>
      <c r="H20" s="42" t="s">
        <v>659</v>
      </c>
      <c r="I20" s="42">
        <v>80111600</v>
      </c>
      <c r="J20" s="42">
        <v>6</v>
      </c>
      <c r="K20" s="42">
        <v>6</v>
      </c>
      <c r="L20" s="42">
        <v>203</v>
      </c>
      <c r="M20" s="42">
        <v>0</v>
      </c>
      <c r="N20" s="42" t="s">
        <v>25</v>
      </c>
      <c r="O20" s="195" t="s">
        <v>330</v>
      </c>
      <c r="P20" s="196">
        <v>0</v>
      </c>
      <c r="Q20" s="93">
        <v>0</v>
      </c>
      <c r="R20" s="93">
        <v>0</v>
      </c>
      <c r="S20" s="93" t="s">
        <v>331</v>
      </c>
      <c r="T20" s="93" t="s">
        <v>332</v>
      </c>
      <c r="U20" s="42" t="s">
        <v>572</v>
      </c>
      <c r="V20" s="42">
        <v>3846666</v>
      </c>
      <c r="W20" s="378" t="s">
        <v>190</v>
      </c>
      <c r="X20" s="42" t="s">
        <v>178</v>
      </c>
      <c r="Y20" s="71" t="s">
        <v>490</v>
      </c>
      <c r="Z20" s="309">
        <v>21114187</v>
      </c>
      <c r="AA20" s="71"/>
      <c r="AB20" s="71"/>
      <c r="AC20" s="163">
        <f t="shared" ref="AC20" si="10">P20+Z20+AA20-AB20</f>
        <v>21114187</v>
      </c>
      <c r="AD20" s="203">
        <v>19123</v>
      </c>
      <c r="AE20" s="225">
        <f>20805198-617975</f>
        <v>20187223</v>
      </c>
      <c r="AF20" s="224">
        <f t="shared" ref="AF20" si="11">+AC20-AE20</f>
        <v>926964</v>
      </c>
      <c r="AG20" s="263">
        <v>21423</v>
      </c>
      <c r="AH20" s="266">
        <v>45092</v>
      </c>
      <c r="AI20" s="315">
        <v>20187223</v>
      </c>
      <c r="AJ20" s="262">
        <f t="shared" ref="AJ20" si="12">+AC20-AI20</f>
        <v>926964</v>
      </c>
      <c r="AK20" s="263" t="s">
        <v>792</v>
      </c>
      <c r="AL20" s="263" t="s">
        <v>793</v>
      </c>
      <c r="AM20" s="380"/>
      <c r="AN20" s="243" t="s">
        <v>588</v>
      </c>
    </row>
    <row r="21" spans="1:40" ht="164.25" customHeight="1" x14ac:dyDescent="0.2">
      <c r="A21" s="194" t="s">
        <v>119</v>
      </c>
      <c r="B21" s="70" t="s">
        <v>191</v>
      </c>
      <c r="C21" s="72" t="s">
        <v>338</v>
      </c>
      <c r="D21" s="75" t="s">
        <v>120</v>
      </c>
      <c r="E21" s="34" t="s">
        <v>253</v>
      </c>
      <c r="F21" s="29" t="s">
        <v>255</v>
      </c>
      <c r="G21" s="29" t="s">
        <v>262</v>
      </c>
      <c r="H21" s="29" t="s">
        <v>250</v>
      </c>
      <c r="I21" s="29">
        <v>80111600</v>
      </c>
      <c r="J21" s="29">
        <v>1</v>
      </c>
      <c r="K21" s="29">
        <v>1</v>
      </c>
      <c r="L21" s="29">
        <v>11</v>
      </c>
      <c r="M21" s="29">
        <v>1</v>
      </c>
      <c r="N21" s="29" t="s">
        <v>25</v>
      </c>
      <c r="O21" s="195" t="s">
        <v>330</v>
      </c>
      <c r="P21" s="197">
        <f t="shared" si="6"/>
        <v>36499265</v>
      </c>
      <c r="Q21" s="139">
        <v>0</v>
      </c>
      <c r="R21" s="139">
        <v>0</v>
      </c>
      <c r="S21" s="139" t="s">
        <v>331</v>
      </c>
      <c r="T21" s="139" t="s">
        <v>332</v>
      </c>
      <c r="U21" s="29" t="s">
        <v>572</v>
      </c>
      <c r="V21" s="29">
        <v>3846666</v>
      </c>
      <c r="W21" s="141" t="s">
        <v>190</v>
      </c>
      <c r="X21" s="29" t="s">
        <v>524</v>
      </c>
      <c r="Y21" s="140" t="s">
        <v>490</v>
      </c>
      <c r="Z21" s="140"/>
      <c r="AA21" s="140"/>
      <c r="AB21" s="377">
        <v>21114187</v>
      </c>
      <c r="AC21" s="164">
        <f t="shared" si="1"/>
        <v>15385078</v>
      </c>
      <c r="AD21" s="243"/>
      <c r="AE21" s="243"/>
      <c r="AF21" s="242">
        <f t="shared" si="2"/>
        <v>15385078</v>
      </c>
      <c r="AG21" s="265"/>
      <c r="AH21" s="265"/>
      <c r="AI21" s="314"/>
      <c r="AJ21" s="258">
        <f t="shared" si="3"/>
        <v>15385078</v>
      </c>
      <c r="AK21" s="265"/>
      <c r="AL21" s="265"/>
      <c r="AM21" s="380"/>
      <c r="AN21" s="243" t="s">
        <v>588</v>
      </c>
    </row>
    <row r="22" spans="1:40" ht="110.25" customHeight="1" x14ac:dyDescent="0.2">
      <c r="A22" s="194" t="s">
        <v>119</v>
      </c>
      <c r="B22" s="70" t="s">
        <v>191</v>
      </c>
      <c r="C22" s="72" t="s">
        <v>338</v>
      </c>
      <c r="D22" s="74" t="s">
        <v>120</v>
      </c>
      <c r="E22" s="5" t="s">
        <v>253</v>
      </c>
      <c r="F22" s="91" t="s">
        <v>256</v>
      </c>
      <c r="G22" s="43" t="s">
        <v>263</v>
      </c>
      <c r="H22" s="43" t="s">
        <v>252</v>
      </c>
      <c r="I22" s="91">
        <v>80111600</v>
      </c>
      <c r="J22" s="91">
        <v>1</v>
      </c>
      <c r="K22" s="91">
        <v>1</v>
      </c>
      <c r="L22" s="91">
        <v>11</v>
      </c>
      <c r="M22" s="91">
        <v>1</v>
      </c>
      <c r="N22" s="91" t="s">
        <v>25</v>
      </c>
      <c r="O22" s="195" t="s">
        <v>330</v>
      </c>
      <c r="P22" s="196">
        <f t="shared" si="6"/>
        <v>36499265</v>
      </c>
      <c r="Q22" s="96">
        <v>0</v>
      </c>
      <c r="R22" s="96">
        <v>0</v>
      </c>
      <c r="S22" s="96" t="s">
        <v>331</v>
      </c>
      <c r="T22" s="96" t="s">
        <v>332</v>
      </c>
      <c r="U22" s="97" t="s">
        <v>572</v>
      </c>
      <c r="V22" s="97">
        <v>3846666</v>
      </c>
      <c r="W22" s="98" t="s">
        <v>190</v>
      </c>
      <c r="X22" s="97" t="s">
        <v>524</v>
      </c>
      <c r="Y22" s="97" t="s">
        <v>303</v>
      </c>
      <c r="Z22" s="97"/>
      <c r="AA22" s="97"/>
      <c r="AB22" s="97"/>
      <c r="AC22" s="161">
        <f t="shared" si="1"/>
        <v>36499265</v>
      </c>
      <c r="AD22" s="243"/>
      <c r="AE22" s="243"/>
      <c r="AF22" s="242">
        <f t="shared" si="2"/>
        <v>36499265</v>
      </c>
      <c r="AG22" s="265"/>
      <c r="AH22" s="265"/>
      <c r="AI22" s="314"/>
      <c r="AJ22" s="258">
        <f t="shared" si="3"/>
        <v>36499265</v>
      </c>
      <c r="AK22" s="265"/>
      <c r="AL22" s="265"/>
      <c r="AM22" s="380"/>
      <c r="AN22" s="245"/>
    </row>
    <row r="23" spans="1:40" ht="110.25" customHeight="1" x14ac:dyDescent="0.2">
      <c r="A23" s="194" t="s">
        <v>119</v>
      </c>
      <c r="B23" s="70" t="s">
        <v>191</v>
      </c>
      <c r="C23" s="72" t="s">
        <v>338</v>
      </c>
      <c r="D23" s="74" t="s">
        <v>120</v>
      </c>
      <c r="E23" s="5" t="s">
        <v>253</v>
      </c>
      <c r="F23" s="91" t="s">
        <v>256</v>
      </c>
      <c r="G23" s="43" t="s">
        <v>263</v>
      </c>
      <c r="H23" s="43" t="s">
        <v>252</v>
      </c>
      <c r="I23" s="91">
        <v>80111600</v>
      </c>
      <c r="J23" s="91">
        <v>1</v>
      </c>
      <c r="K23" s="91">
        <v>1</v>
      </c>
      <c r="L23" s="91">
        <v>11</v>
      </c>
      <c r="M23" s="91">
        <v>1</v>
      </c>
      <c r="N23" s="91" t="s">
        <v>25</v>
      </c>
      <c r="O23" s="195" t="s">
        <v>330</v>
      </c>
      <c r="P23" s="196">
        <f t="shared" si="6"/>
        <v>36499265</v>
      </c>
      <c r="Q23" s="96">
        <v>0</v>
      </c>
      <c r="R23" s="96">
        <v>0</v>
      </c>
      <c r="S23" s="96" t="s">
        <v>331</v>
      </c>
      <c r="T23" s="96" t="s">
        <v>332</v>
      </c>
      <c r="U23" s="97" t="s">
        <v>572</v>
      </c>
      <c r="V23" s="97">
        <v>3846666</v>
      </c>
      <c r="W23" s="98" t="s">
        <v>190</v>
      </c>
      <c r="X23" s="97" t="s">
        <v>524</v>
      </c>
      <c r="Y23" s="97" t="s">
        <v>303</v>
      </c>
      <c r="Z23" s="97"/>
      <c r="AA23" s="97"/>
      <c r="AB23" s="97"/>
      <c r="AC23" s="161">
        <f t="shared" si="1"/>
        <v>36499265</v>
      </c>
      <c r="AD23" s="243"/>
      <c r="AE23" s="243"/>
      <c r="AF23" s="242">
        <f t="shared" si="2"/>
        <v>36499265</v>
      </c>
      <c r="AG23" s="265"/>
      <c r="AH23" s="265"/>
      <c r="AI23" s="314"/>
      <c r="AJ23" s="258">
        <f t="shared" si="3"/>
        <v>36499265</v>
      </c>
      <c r="AK23" s="265"/>
      <c r="AL23" s="265"/>
      <c r="AM23" s="380"/>
      <c r="AN23" s="245"/>
    </row>
    <row r="24" spans="1:40" ht="110.25" customHeight="1" x14ac:dyDescent="0.2">
      <c r="A24" s="194" t="s">
        <v>119</v>
      </c>
      <c r="B24" s="70" t="s">
        <v>191</v>
      </c>
      <c r="C24" s="72" t="s">
        <v>338</v>
      </c>
      <c r="D24" s="74" t="s">
        <v>120</v>
      </c>
      <c r="E24" s="5" t="s">
        <v>253</v>
      </c>
      <c r="F24" s="91" t="s">
        <v>256</v>
      </c>
      <c r="G24" s="43" t="s">
        <v>263</v>
      </c>
      <c r="H24" s="43" t="s">
        <v>247</v>
      </c>
      <c r="I24" s="91" t="s">
        <v>1</v>
      </c>
      <c r="J24" s="91" t="s">
        <v>1</v>
      </c>
      <c r="K24" s="91" t="s">
        <v>1</v>
      </c>
      <c r="L24" s="91" t="s">
        <v>1</v>
      </c>
      <c r="M24" s="91" t="s">
        <v>1</v>
      </c>
      <c r="N24" s="91" t="s">
        <v>45</v>
      </c>
      <c r="O24" s="195" t="s">
        <v>405</v>
      </c>
      <c r="P24" s="196">
        <v>14504000</v>
      </c>
      <c r="Q24" s="96">
        <v>0</v>
      </c>
      <c r="R24" s="96">
        <v>0</v>
      </c>
      <c r="S24" s="96" t="s">
        <v>331</v>
      </c>
      <c r="T24" s="96" t="s">
        <v>332</v>
      </c>
      <c r="U24" s="97" t="s">
        <v>572</v>
      </c>
      <c r="V24" s="97">
        <v>3846666</v>
      </c>
      <c r="W24" s="98" t="s">
        <v>190</v>
      </c>
      <c r="X24" s="97" t="s">
        <v>267</v>
      </c>
      <c r="Y24" s="97" t="s">
        <v>1</v>
      </c>
      <c r="Z24" s="97"/>
      <c r="AA24" s="97"/>
      <c r="AB24" s="97"/>
      <c r="AC24" s="161">
        <f t="shared" si="1"/>
        <v>14504000</v>
      </c>
      <c r="AD24" s="237" t="s">
        <v>778</v>
      </c>
      <c r="AE24" s="225">
        <f>891752+693585-693585+891752+1046021+1046021+152929+135492</f>
        <v>4163967</v>
      </c>
      <c r="AF24" s="224">
        <f t="shared" si="2"/>
        <v>10340033</v>
      </c>
      <c r="AG24" s="267" t="s">
        <v>801</v>
      </c>
      <c r="AH24" s="277" t="s">
        <v>802</v>
      </c>
      <c r="AI24" s="268">
        <f>891752+891752+1046021+1046021+152929+135492</f>
        <v>4163967</v>
      </c>
      <c r="AJ24" s="262">
        <f t="shared" si="3"/>
        <v>10340033</v>
      </c>
      <c r="AK24" s="263" t="s">
        <v>267</v>
      </c>
      <c r="AL24" s="267" t="s">
        <v>805</v>
      </c>
      <c r="AM24" s="320">
        <f>891752+891752+1046021+1046021+152929+135492</f>
        <v>4163967</v>
      </c>
      <c r="AN24" s="12"/>
    </row>
    <row r="25" spans="1:40" ht="110.25" customHeight="1" x14ac:dyDescent="0.2">
      <c r="A25" s="194" t="s">
        <v>119</v>
      </c>
      <c r="B25" s="70" t="s">
        <v>191</v>
      </c>
      <c r="C25" s="72" t="s">
        <v>338</v>
      </c>
      <c r="D25" s="74" t="s">
        <v>120</v>
      </c>
      <c r="E25" s="5" t="s">
        <v>253</v>
      </c>
      <c r="F25" s="91" t="s">
        <v>256</v>
      </c>
      <c r="G25" s="43" t="s">
        <v>263</v>
      </c>
      <c r="H25" s="43" t="s">
        <v>248</v>
      </c>
      <c r="I25" s="91" t="s">
        <v>1</v>
      </c>
      <c r="J25" s="91" t="s">
        <v>1</v>
      </c>
      <c r="K25" s="91" t="s">
        <v>1</v>
      </c>
      <c r="L25" s="91" t="s">
        <v>1</v>
      </c>
      <c r="M25" s="91" t="s">
        <v>1</v>
      </c>
      <c r="N25" s="91" t="s">
        <v>45</v>
      </c>
      <c r="O25" s="195" t="s">
        <v>330</v>
      </c>
      <c r="P25" s="196">
        <v>2101000</v>
      </c>
      <c r="Q25" s="96">
        <v>0</v>
      </c>
      <c r="R25" s="96">
        <v>0</v>
      </c>
      <c r="S25" s="96" t="s">
        <v>331</v>
      </c>
      <c r="T25" s="96" t="s">
        <v>332</v>
      </c>
      <c r="U25" s="97" t="s">
        <v>572</v>
      </c>
      <c r="V25" s="97">
        <v>3846666</v>
      </c>
      <c r="W25" s="98" t="s">
        <v>190</v>
      </c>
      <c r="X25" s="97" t="s">
        <v>269</v>
      </c>
      <c r="Y25" s="97" t="s">
        <v>1</v>
      </c>
      <c r="Z25" s="97"/>
      <c r="AA25" s="97"/>
      <c r="AB25" s="97"/>
      <c r="AC25" s="161">
        <f t="shared" si="1"/>
        <v>2101000</v>
      </c>
      <c r="AD25" s="237" t="s">
        <v>610</v>
      </c>
      <c r="AE25" s="225">
        <f>150000+120000-120000+120000+210000+215000</f>
        <v>695000</v>
      </c>
      <c r="AF25" s="224">
        <f t="shared" si="2"/>
        <v>1406000</v>
      </c>
      <c r="AG25" s="267" t="s">
        <v>685</v>
      </c>
      <c r="AH25" s="277" t="s">
        <v>684</v>
      </c>
      <c r="AI25" s="268">
        <f>150000+120000+210000+215000</f>
        <v>695000</v>
      </c>
      <c r="AJ25" s="262">
        <f t="shared" si="3"/>
        <v>1406000</v>
      </c>
      <c r="AK25" s="267" t="s">
        <v>546</v>
      </c>
      <c r="AL25" s="267" t="s">
        <v>607</v>
      </c>
      <c r="AM25" s="320">
        <f>150000+120000+210000+215000</f>
        <v>695000</v>
      </c>
      <c r="AN25" s="12"/>
    </row>
    <row r="26" spans="1:40" ht="110.25" customHeight="1" x14ac:dyDescent="0.2">
      <c r="A26" s="194" t="s">
        <v>119</v>
      </c>
      <c r="B26" s="70" t="s">
        <v>191</v>
      </c>
      <c r="C26" s="72" t="s">
        <v>338</v>
      </c>
      <c r="D26" s="74" t="s">
        <v>120</v>
      </c>
      <c r="E26" s="5" t="s">
        <v>253</v>
      </c>
      <c r="F26" s="91" t="s">
        <v>256</v>
      </c>
      <c r="G26" s="43" t="s">
        <v>263</v>
      </c>
      <c r="H26" s="43" t="s">
        <v>121</v>
      </c>
      <c r="I26" s="91">
        <v>78111502</v>
      </c>
      <c r="J26" s="91">
        <v>3</v>
      </c>
      <c r="K26" s="91">
        <v>3</v>
      </c>
      <c r="L26" s="91">
        <v>9</v>
      </c>
      <c r="M26" s="91">
        <v>1</v>
      </c>
      <c r="N26" s="91" t="s">
        <v>25</v>
      </c>
      <c r="O26" s="195" t="s">
        <v>330</v>
      </c>
      <c r="P26" s="196">
        <v>9750000</v>
      </c>
      <c r="Q26" s="96">
        <v>0</v>
      </c>
      <c r="R26" s="96">
        <v>0</v>
      </c>
      <c r="S26" s="96" t="s">
        <v>331</v>
      </c>
      <c r="T26" s="96" t="s">
        <v>332</v>
      </c>
      <c r="U26" s="97" t="s">
        <v>572</v>
      </c>
      <c r="V26" s="97">
        <v>3846666</v>
      </c>
      <c r="W26" s="98" t="s">
        <v>190</v>
      </c>
      <c r="X26" s="97" t="s">
        <v>268</v>
      </c>
      <c r="Y26" s="97" t="s">
        <v>41</v>
      </c>
      <c r="Z26" s="97"/>
      <c r="AA26" s="97"/>
      <c r="AB26" s="97"/>
      <c r="AC26" s="161">
        <f t="shared" si="1"/>
        <v>9750000</v>
      </c>
      <c r="AD26" s="203">
        <v>13423</v>
      </c>
      <c r="AE26" s="225">
        <v>9750000</v>
      </c>
      <c r="AF26" s="224">
        <f t="shared" si="2"/>
        <v>0</v>
      </c>
      <c r="AG26" s="263">
        <v>17523</v>
      </c>
      <c r="AH26" s="266">
        <v>45076</v>
      </c>
      <c r="AI26" s="370">
        <v>9750000</v>
      </c>
      <c r="AJ26" s="262">
        <f t="shared" si="3"/>
        <v>0</v>
      </c>
      <c r="AK26" s="263" t="s">
        <v>661</v>
      </c>
      <c r="AL26" s="267" t="s">
        <v>662</v>
      </c>
      <c r="AM26" s="380"/>
      <c r="AN26" s="245"/>
    </row>
    <row r="27" spans="1:40" ht="110.25" customHeight="1" x14ac:dyDescent="0.2">
      <c r="A27" s="194" t="s">
        <v>119</v>
      </c>
      <c r="B27" s="70" t="s">
        <v>191</v>
      </c>
      <c r="C27" s="72" t="s">
        <v>338</v>
      </c>
      <c r="D27" s="74" t="s">
        <v>120</v>
      </c>
      <c r="E27" s="4" t="s">
        <v>257</v>
      </c>
      <c r="F27" s="19" t="s">
        <v>257</v>
      </c>
      <c r="G27" s="99" t="s">
        <v>337</v>
      </c>
      <c r="H27" s="24" t="s">
        <v>270</v>
      </c>
      <c r="I27" s="25">
        <v>80111600</v>
      </c>
      <c r="J27" s="27">
        <v>1</v>
      </c>
      <c r="K27" s="27">
        <v>1</v>
      </c>
      <c r="L27" s="27">
        <v>11</v>
      </c>
      <c r="M27" s="27">
        <v>1</v>
      </c>
      <c r="N27" s="25" t="s">
        <v>25</v>
      </c>
      <c r="O27" s="195" t="s">
        <v>330</v>
      </c>
      <c r="P27" s="196">
        <f>(3219000*1.06)*11</f>
        <v>37533540</v>
      </c>
      <c r="Q27" s="41">
        <v>0</v>
      </c>
      <c r="R27" s="41">
        <v>0</v>
      </c>
      <c r="S27" s="41" t="s">
        <v>331</v>
      </c>
      <c r="T27" s="41" t="s">
        <v>332</v>
      </c>
      <c r="U27" s="25" t="s">
        <v>275</v>
      </c>
      <c r="V27" s="25">
        <v>3846666</v>
      </c>
      <c r="W27" s="28" t="s">
        <v>276</v>
      </c>
      <c r="X27" s="25" t="s">
        <v>524</v>
      </c>
      <c r="Y27" s="25" t="s">
        <v>407</v>
      </c>
      <c r="Z27" s="25"/>
      <c r="AA27" s="25"/>
      <c r="AB27" s="25"/>
      <c r="AC27" s="150">
        <f t="shared" si="1"/>
        <v>37533540</v>
      </c>
      <c r="AD27" s="203" t="s">
        <v>693</v>
      </c>
      <c r="AE27" s="225">
        <f>13648560+23316290</f>
        <v>36964850</v>
      </c>
      <c r="AF27" s="224">
        <f t="shared" si="2"/>
        <v>568690</v>
      </c>
      <c r="AG27" s="259" t="s">
        <v>783</v>
      </c>
      <c r="AH27" s="260" t="s">
        <v>784</v>
      </c>
      <c r="AI27" s="261">
        <f>12738656+23088814</f>
        <v>35827470</v>
      </c>
      <c r="AJ27" s="262">
        <f t="shared" si="3"/>
        <v>1706070</v>
      </c>
      <c r="AK27" s="264" t="s">
        <v>785</v>
      </c>
      <c r="AL27" s="264" t="s">
        <v>502</v>
      </c>
      <c r="AM27" s="385">
        <f>2502236+3412140+3412140+3412140</f>
        <v>12738656</v>
      </c>
      <c r="AN27" s="12"/>
    </row>
    <row r="28" spans="1:40" ht="110.25" customHeight="1" x14ac:dyDescent="0.2">
      <c r="A28" s="194" t="s">
        <v>119</v>
      </c>
      <c r="B28" s="70" t="s">
        <v>191</v>
      </c>
      <c r="C28" s="72" t="s">
        <v>338</v>
      </c>
      <c r="D28" s="74" t="s">
        <v>120</v>
      </c>
      <c r="E28" s="4" t="s">
        <v>257</v>
      </c>
      <c r="F28" s="19" t="s">
        <v>257</v>
      </c>
      <c r="G28" s="99" t="s">
        <v>337</v>
      </c>
      <c r="H28" s="24" t="s">
        <v>271</v>
      </c>
      <c r="I28" s="25">
        <v>80111600</v>
      </c>
      <c r="J28" s="27">
        <v>1</v>
      </c>
      <c r="K28" s="27">
        <v>1</v>
      </c>
      <c r="L28" s="27">
        <v>11</v>
      </c>
      <c r="M28" s="27">
        <v>1</v>
      </c>
      <c r="N28" s="25" t="s">
        <v>25</v>
      </c>
      <c r="O28" s="195" t="s">
        <v>330</v>
      </c>
      <c r="P28" s="196">
        <f t="shared" ref="P28:P33" si="13">3318115*11</f>
        <v>36499265</v>
      </c>
      <c r="Q28" s="41">
        <v>0</v>
      </c>
      <c r="R28" s="41">
        <v>0</v>
      </c>
      <c r="S28" s="41" t="s">
        <v>331</v>
      </c>
      <c r="T28" s="41" t="s">
        <v>332</v>
      </c>
      <c r="U28" s="25" t="s">
        <v>275</v>
      </c>
      <c r="V28" s="25">
        <v>3846666</v>
      </c>
      <c r="W28" s="28" t="s">
        <v>276</v>
      </c>
      <c r="X28" s="25" t="s">
        <v>524</v>
      </c>
      <c r="Y28" s="25" t="s">
        <v>407</v>
      </c>
      <c r="Z28" s="25"/>
      <c r="AA28" s="25"/>
      <c r="AB28" s="25"/>
      <c r="AC28" s="150">
        <f t="shared" si="1"/>
        <v>36499265</v>
      </c>
      <c r="AD28" s="203" t="s">
        <v>694</v>
      </c>
      <c r="AE28" s="226">
        <f>12498237+22673786</f>
        <v>35172023</v>
      </c>
      <c r="AF28" s="224">
        <f t="shared" si="2"/>
        <v>1327242</v>
      </c>
      <c r="AG28" s="259" t="s">
        <v>794</v>
      </c>
      <c r="AH28" s="260" t="s">
        <v>795</v>
      </c>
      <c r="AI28" s="261">
        <f>12387629+21678351</f>
        <v>34065980</v>
      </c>
      <c r="AJ28" s="262">
        <f t="shared" si="3"/>
        <v>2433285</v>
      </c>
      <c r="AK28" s="267" t="s">
        <v>796</v>
      </c>
      <c r="AL28" s="264" t="s">
        <v>504</v>
      </c>
      <c r="AM28" s="385">
        <f>2433284+3318115+3318115+3318115</f>
        <v>12387629</v>
      </c>
      <c r="AN28" s="12"/>
    </row>
    <row r="29" spans="1:40" ht="110.25" customHeight="1" x14ac:dyDescent="0.2">
      <c r="A29" s="194" t="s">
        <v>119</v>
      </c>
      <c r="B29" s="70" t="s">
        <v>191</v>
      </c>
      <c r="C29" s="72" t="s">
        <v>338</v>
      </c>
      <c r="D29" s="74" t="s">
        <v>120</v>
      </c>
      <c r="E29" s="4" t="s">
        <v>257</v>
      </c>
      <c r="F29" s="19" t="s">
        <v>257</v>
      </c>
      <c r="G29" s="99" t="s">
        <v>337</v>
      </c>
      <c r="H29" s="24" t="s">
        <v>274</v>
      </c>
      <c r="I29" s="25">
        <v>80111600</v>
      </c>
      <c r="J29" s="27">
        <v>1</v>
      </c>
      <c r="K29" s="27">
        <v>1</v>
      </c>
      <c r="L29" s="27">
        <v>11</v>
      </c>
      <c r="M29" s="27">
        <v>1</v>
      </c>
      <c r="N29" s="25" t="s">
        <v>25</v>
      </c>
      <c r="O29" s="195" t="s">
        <v>330</v>
      </c>
      <c r="P29" s="196">
        <f>36499265-P30</f>
        <v>5160235</v>
      </c>
      <c r="Q29" s="41">
        <v>0</v>
      </c>
      <c r="R29" s="41">
        <v>0</v>
      </c>
      <c r="S29" s="41" t="s">
        <v>331</v>
      </c>
      <c r="T29" s="41" t="s">
        <v>332</v>
      </c>
      <c r="U29" s="25" t="s">
        <v>275</v>
      </c>
      <c r="V29" s="25">
        <v>3846666</v>
      </c>
      <c r="W29" s="28" t="s">
        <v>276</v>
      </c>
      <c r="X29" s="25" t="s">
        <v>524</v>
      </c>
      <c r="Y29" s="25" t="s">
        <v>407</v>
      </c>
      <c r="Z29" s="25"/>
      <c r="AA29" s="25"/>
      <c r="AB29" s="25"/>
      <c r="AC29" s="150">
        <f t="shared" si="1"/>
        <v>5160235</v>
      </c>
      <c r="AD29" s="203">
        <v>18623</v>
      </c>
      <c r="AE29" s="224">
        <v>5160235</v>
      </c>
      <c r="AF29" s="224">
        <f t="shared" si="2"/>
        <v>0</v>
      </c>
      <c r="AG29" s="263">
        <v>20423</v>
      </c>
      <c r="AH29" s="266">
        <v>45085</v>
      </c>
      <c r="AI29" s="412">
        <v>5160235</v>
      </c>
      <c r="AJ29" s="262">
        <f t="shared" si="3"/>
        <v>0</v>
      </c>
      <c r="AK29" s="263" t="s">
        <v>789</v>
      </c>
      <c r="AL29" s="263" t="s">
        <v>516</v>
      </c>
      <c r="AM29" s="380"/>
      <c r="AN29" s="245"/>
    </row>
    <row r="30" spans="1:40" ht="110.25" customHeight="1" x14ac:dyDescent="0.2">
      <c r="A30" s="194" t="s">
        <v>119</v>
      </c>
      <c r="B30" s="70" t="s">
        <v>191</v>
      </c>
      <c r="C30" s="72" t="s">
        <v>338</v>
      </c>
      <c r="D30" s="74" t="s">
        <v>120</v>
      </c>
      <c r="E30" s="4" t="s">
        <v>257</v>
      </c>
      <c r="F30" s="19" t="s">
        <v>257</v>
      </c>
      <c r="G30" s="99" t="s">
        <v>337</v>
      </c>
      <c r="H30" s="24" t="s">
        <v>274</v>
      </c>
      <c r="I30" s="25">
        <v>80111600</v>
      </c>
      <c r="J30" s="27">
        <v>1</v>
      </c>
      <c r="K30" s="27">
        <v>1</v>
      </c>
      <c r="L30" s="27">
        <v>11</v>
      </c>
      <c r="M30" s="27">
        <v>1</v>
      </c>
      <c r="N30" s="25" t="s">
        <v>25</v>
      </c>
      <c r="O30" s="195" t="s">
        <v>405</v>
      </c>
      <c r="P30" s="196">
        <v>31339030</v>
      </c>
      <c r="Q30" s="41">
        <v>0</v>
      </c>
      <c r="R30" s="41">
        <v>0</v>
      </c>
      <c r="S30" s="41" t="s">
        <v>331</v>
      </c>
      <c r="T30" s="41" t="s">
        <v>332</v>
      </c>
      <c r="U30" s="25" t="s">
        <v>275</v>
      </c>
      <c r="V30" s="25">
        <v>3846666</v>
      </c>
      <c r="W30" s="28" t="s">
        <v>276</v>
      </c>
      <c r="X30" s="25" t="s">
        <v>524</v>
      </c>
      <c r="Y30" s="25" t="s">
        <v>407</v>
      </c>
      <c r="Z30" s="25"/>
      <c r="AA30" s="25"/>
      <c r="AB30" s="373">
        <v>26063317</v>
      </c>
      <c r="AC30" s="150">
        <f t="shared" si="1"/>
        <v>5275713</v>
      </c>
      <c r="AD30" s="243"/>
      <c r="AE30" s="243"/>
      <c r="AF30" s="242">
        <f t="shared" si="2"/>
        <v>5275713</v>
      </c>
      <c r="AG30" s="265"/>
      <c r="AH30" s="265"/>
      <c r="AI30" s="314"/>
      <c r="AJ30" s="258">
        <f t="shared" si="3"/>
        <v>5275713</v>
      </c>
      <c r="AK30" s="265"/>
      <c r="AL30" s="265"/>
      <c r="AM30" s="306"/>
      <c r="AN30" s="243" t="s">
        <v>588</v>
      </c>
    </row>
    <row r="31" spans="1:40" ht="110.25" customHeight="1" x14ac:dyDescent="0.2">
      <c r="A31" s="194" t="s">
        <v>119</v>
      </c>
      <c r="B31" s="70" t="s">
        <v>191</v>
      </c>
      <c r="C31" s="72" t="s">
        <v>338</v>
      </c>
      <c r="D31" s="74" t="s">
        <v>120</v>
      </c>
      <c r="E31" s="4" t="s">
        <v>257</v>
      </c>
      <c r="F31" s="19" t="s">
        <v>257</v>
      </c>
      <c r="G31" s="99" t="s">
        <v>337</v>
      </c>
      <c r="H31" s="24" t="s">
        <v>274</v>
      </c>
      <c r="I31" s="25">
        <v>80111600</v>
      </c>
      <c r="J31" s="27">
        <v>6</v>
      </c>
      <c r="K31" s="27">
        <v>6</v>
      </c>
      <c r="L31" s="27" t="s">
        <v>680</v>
      </c>
      <c r="M31" s="27">
        <v>0</v>
      </c>
      <c r="N31" s="25" t="s">
        <v>25</v>
      </c>
      <c r="O31" s="195" t="s">
        <v>405</v>
      </c>
      <c r="P31" s="196">
        <v>0</v>
      </c>
      <c r="Q31" s="41">
        <v>0</v>
      </c>
      <c r="R31" s="41">
        <v>0</v>
      </c>
      <c r="S31" s="41" t="s">
        <v>331</v>
      </c>
      <c r="T31" s="41" t="s">
        <v>332</v>
      </c>
      <c r="U31" s="25" t="s">
        <v>275</v>
      </c>
      <c r="V31" s="25">
        <v>3846666</v>
      </c>
      <c r="W31" s="28" t="s">
        <v>276</v>
      </c>
      <c r="X31" s="25" t="s">
        <v>524</v>
      </c>
      <c r="Y31" s="25" t="s">
        <v>407</v>
      </c>
      <c r="Z31" s="373">
        <v>26063317</v>
      </c>
      <c r="AA31" s="25"/>
      <c r="AB31" s="373"/>
      <c r="AC31" s="150">
        <f t="shared" ref="AC31" si="14">P31+Z31+AA31-AB31</f>
        <v>26063317</v>
      </c>
      <c r="AD31" s="203">
        <v>18623</v>
      </c>
      <c r="AE31" s="224">
        <v>20903082</v>
      </c>
      <c r="AF31" s="224">
        <f t="shared" ref="AF31" si="15">+AC31-AE31</f>
        <v>5160235</v>
      </c>
      <c r="AG31" s="263">
        <v>20423</v>
      </c>
      <c r="AH31" s="266">
        <v>45085</v>
      </c>
      <c r="AI31" s="412">
        <v>20648806</v>
      </c>
      <c r="AJ31" s="262">
        <f t="shared" ref="AJ31" si="16">+AC31-AI31</f>
        <v>5414511</v>
      </c>
      <c r="AK31" s="263" t="s">
        <v>789</v>
      </c>
      <c r="AL31" s="263" t="s">
        <v>516</v>
      </c>
      <c r="AM31" s="306"/>
      <c r="AN31" s="243" t="s">
        <v>588</v>
      </c>
    </row>
    <row r="32" spans="1:40" ht="110.25" customHeight="1" x14ac:dyDescent="0.2">
      <c r="A32" s="194" t="s">
        <v>119</v>
      </c>
      <c r="B32" s="70" t="s">
        <v>191</v>
      </c>
      <c r="C32" s="72" t="s">
        <v>338</v>
      </c>
      <c r="D32" s="74" t="s">
        <v>120</v>
      </c>
      <c r="E32" s="4" t="s">
        <v>257</v>
      </c>
      <c r="F32" s="19" t="s">
        <v>257</v>
      </c>
      <c r="G32" s="99" t="s">
        <v>337</v>
      </c>
      <c r="H32" s="24" t="s">
        <v>272</v>
      </c>
      <c r="I32" s="25">
        <v>80111600</v>
      </c>
      <c r="J32" s="27">
        <v>1</v>
      </c>
      <c r="K32" s="27">
        <v>1</v>
      </c>
      <c r="L32" s="27">
        <v>11</v>
      </c>
      <c r="M32" s="27">
        <v>1</v>
      </c>
      <c r="N32" s="25" t="s">
        <v>25</v>
      </c>
      <c r="O32" s="195" t="s">
        <v>330</v>
      </c>
      <c r="P32" s="196">
        <f>3318115*11+6325000</f>
        <v>42824265</v>
      </c>
      <c r="Q32" s="41">
        <v>0</v>
      </c>
      <c r="R32" s="41">
        <v>0</v>
      </c>
      <c r="S32" s="41" t="s">
        <v>331</v>
      </c>
      <c r="T32" s="41" t="s">
        <v>332</v>
      </c>
      <c r="U32" s="25" t="s">
        <v>275</v>
      </c>
      <c r="V32" s="25">
        <v>3846666</v>
      </c>
      <c r="W32" s="28" t="s">
        <v>276</v>
      </c>
      <c r="X32" s="25" t="s">
        <v>524</v>
      </c>
      <c r="Y32" s="25" t="s">
        <v>407</v>
      </c>
      <c r="Z32" s="25"/>
      <c r="AA32" s="25"/>
      <c r="AB32" s="25"/>
      <c r="AC32" s="150">
        <f t="shared" si="1"/>
        <v>42824265</v>
      </c>
      <c r="AD32" s="203" t="s">
        <v>695</v>
      </c>
      <c r="AE32" s="225">
        <f>15572460+26602952</f>
        <v>42175412</v>
      </c>
      <c r="AF32" s="224">
        <f t="shared" si="2"/>
        <v>648853</v>
      </c>
      <c r="AG32" s="259" t="s">
        <v>786</v>
      </c>
      <c r="AH32" s="260" t="s">
        <v>787</v>
      </c>
      <c r="AI32" s="261">
        <f>14534296+26343411</f>
        <v>40877707</v>
      </c>
      <c r="AJ32" s="262">
        <f t="shared" si="3"/>
        <v>1946558</v>
      </c>
      <c r="AK32" s="267" t="s">
        <v>788</v>
      </c>
      <c r="AL32" s="264" t="s">
        <v>503</v>
      </c>
      <c r="AM32" s="320">
        <f>2854951+3893115+3893115+3893115</f>
        <v>14534296</v>
      </c>
      <c r="AN32" s="12"/>
    </row>
    <row r="33" spans="1:40" ht="110.25" customHeight="1" x14ac:dyDescent="0.2">
      <c r="A33" s="194" t="s">
        <v>119</v>
      </c>
      <c r="B33" s="70" t="s">
        <v>191</v>
      </c>
      <c r="C33" s="72" t="s">
        <v>338</v>
      </c>
      <c r="D33" s="74" t="s">
        <v>120</v>
      </c>
      <c r="E33" s="4" t="s">
        <v>257</v>
      </c>
      <c r="F33" s="19" t="s">
        <v>257</v>
      </c>
      <c r="G33" s="99" t="s">
        <v>337</v>
      </c>
      <c r="H33" s="24" t="s">
        <v>273</v>
      </c>
      <c r="I33" s="25">
        <v>80111600</v>
      </c>
      <c r="J33" s="27">
        <v>1</v>
      </c>
      <c r="K33" s="27">
        <v>1</v>
      </c>
      <c r="L33" s="27">
        <v>11</v>
      </c>
      <c r="M33" s="27">
        <v>1</v>
      </c>
      <c r="N33" s="25" t="s">
        <v>25</v>
      </c>
      <c r="O33" s="195" t="s">
        <v>330</v>
      </c>
      <c r="P33" s="196">
        <f t="shared" si="13"/>
        <v>36499265</v>
      </c>
      <c r="Q33" s="41">
        <v>0</v>
      </c>
      <c r="R33" s="41">
        <v>0</v>
      </c>
      <c r="S33" s="41" t="s">
        <v>331</v>
      </c>
      <c r="T33" s="41" t="s">
        <v>332</v>
      </c>
      <c r="U33" s="25" t="s">
        <v>275</v>
      </c>
      <c r="V33" s="25">
        <v>3846666</v>
      </c>
      <c r="W33" s="28" t="s">
        <v>276</v>
      </c>
      <c r="X33" s="25" t="s">
        <v>524</v>
      </c>
      <c r="Y33" s="25" t="s">
        <v>407</v>
      </c>
      <c r="Z33" s="25"/>
      <c r="AA33" s="25"/>
      <c r="AB33" s="25"/>
      <c r="AC33" s="150">
        <f t="shared" si="1"/>
        <v>36499265</v>
      </c>
      <c r="AD33" s="203">
        <v>9323</v>
      </c>
      <c r="AE33" s="224">
        <v>23005604</v>
      </c>
      <c r="AF33" s="224">
        <f t="shared" si="2"/>
        <v>13493661</v>
      </c>
      <c r="AG33" s="263">
        <v>11023</v>
      </c>
      <c r="AH33" s="266">
        <v>45016</v>
      </c>
      <c r="AI33" s="268">
        <v>23005604</v>
      </c>
      <c r="AJ33" s="262">
        <f t="shared" si="3"/>
        <v>13493661</v>
      </c>
      <c r="AK33" s="263" t="s">
        <v>547</v>
      </c>
      <c r="AL33" s="263" t="s">
        <v>548</v>
      </c>
      <c r="AM33" s="320">
        <f>1216642+3318116</f>
        <v>4534758</v>
      </c>
      <c r="AN33" s="12"/>
    </row>
    <row r="34" spans="1:40" ht="147.75" customHeight="1" x14ac:dyDescent="0.2">
      <c r="A34" s="194" t="s">
        <v>122</v>
      </c>
      <c r="B34" s="70" t="s">
        <v>191</v>
      </c>
      <c r="C34" s="71" t="s">
        <v>341</v>
      </c>
      <c r="D34" s="73" t="s">
        <v>123</v>
      </c>
      <c r="E34" s="11" t="s">
        <v>128</v>
      </c>
      <c r="F34" s="11" t="s">
        <v>193</v>
      </c>
      <c r="G34" s="11" t="s">
        <v>344</v>
      </c>
      <c r="H34" s="1" t="s">
        <v>124</v>
      </c>
      <c r="I34" s="11">
        <v>78102203</v>
      </c>
      <c r="J34" s="13">
        <v>3</v>
      </c>
      <c r="K34" s="13">
        <v>3</v>
      </c>
      <c r="L34" s="13">
        <v>9</v>
      </c>
      <c r="M34" s="13">
        <v>1</v>
      </c>
      <c r="N34" s="11" t="s">
        <v>25</v>
      </c>
      <c r="O34" s="195" t="s">
        <v>330</v>
      </c>
      <c r="P34" s="196">
        <v>4000000</v>
      </c>
      <c r="Q34" s="38">
        <v>0</v>
      </c>
      <c r="R34" s="38">
        <v>0</v>
      </c>
      <c r="S34" s="38" t="s">
        <v>331</v>
      </c>
      <c r="T34" s="38" t="s">
        <v>332</v>
      </c>
      <c r="U34" s="11" t="s">
        <v>22</v>
      </c>
      <c r="V34" s="11">
        <v>3846666</v>
      </c>
      <c r="W34" s="11" t="s">
        <v>23</v>
      </c>
      <c r="X34" s="11" t="s">
        <v>26</v>
      </c>
      <c r="Y34" s="11" t="s">
        <v>41</v>
      </c>
      <c r="Z34" s="11"/>
      <c r="AA34" s="11"/>
      <c r="AB34" s="11"/>
      <c r="AC34" s="160">
        <f t="shared" si="1"/>
        <v>4000000</v>
      </c>
      <c r="AD34" s="243"/>
      <c r="AE34" s="244"/>
      <c r="AF34" s="242">
        <f t="shared" si="2"/>
        <v>4000000</v>
      </c>
      <c r="AG34" s="265"/>
      <c r="AH34" s="265"/>
      <c r="AI34" s="314"/>
      <c r="AJ34" s="258">
        <f t="shared" si="3"/>
        <v>4000000</v>
      </c>
      <c r="AK34" s="265"/>
      <c r="AL34" s="265"/>
      <c r="AM34" s="305"/>
      <c r="AN34" s="245"/>
    </row>
    <row r="35" spans="1:40" ht="168" customHeight="1" x14ac:dyDescent="0.2">
      <c r="A35" s="194" t="s">
        <v>122</v>
      </c>
      <c r="B35" s="70" t="s">
        <v>191</v>
      </c>
      <c r="C35" s="71" t="s">
        <v>341</v>
      </c>
      <c r="D35" s="73" t="s">
        <v>123</v>
      </c>
      <c r="E35" s="11" t="s">
        <v>129</v>
      </c>
      <c r="F35" s="142" t="s">
        <v>129</v>
      </c>
      <c r="G35" s="7" t="s">
        <v>0</v>
      </c>
      <c r="H35" s="44" t="s">
        <v>462</v>
      </c>
      <c r="I35" s="7">
        <v>80111600</v>
      </c>
      <c r="J35" s="7">
        <v>1</v>
      </c>
      <c r="K35" s="7">
        <v>1</v>
      </c>
      <c r="L35" s="7" t="s">
        <v>660</v>
      </c>
      <c r="M35" s="7">
        <v>1</v>
      </c>
      <c r="N35" s="103" t="s">
        <v>25</v>
      </c>
      <c r="O35" s="195" t="s">
        <v>330</v>
      </c>
      <c r="P35" s="196">
        <f>2448537*11</f>
        <v>26933907</v>
      </c>
      <c r="Q35" s="102">
        <v>0</v>
      </c>
      <c r="R35" s="102">
        <v>0</v>
      </c>
      <c r="S35" s="102" t="s">
        <v>331</v>
      </c>
      <c r="T35" s="102" t="s">
        <v>332</v>
      </c>
      <c r="U35" s="103" t="s">
        <v>572</v>
      </c>
      <c r="V35" s="103">
        <v>3846666</v>
      </c>
      <c r="W35" s="101" t="s">
        <v>190</v>
      </c>
      <c r="X35" s="7" t="s">
        <v>524</v>
      </c>
      <c r="Y35" s="7" t="s">
        <v>456</v>
      </c>
      <c r="Z35" s="103"/>
      <c r="AA35" s="307">
        <v>5187267</v>
      </c>
      <c r="AB35" s="103"/>
      <c r="AC35" s="144">
        <f t="shared" si="1"/>
        <v>32121174</v>
      </c>
      <c r="AD35" s="207" t="s">
        <v>696</v>
      </c>
      <c r="AE35" s="227">
        <f>11970624+20150550</f>
        <v>32121174</v>
      </c>
      <c r="AF35" s="224">
        <f t="shared" si="2"/>
        <v>0</v>
      </c>
      <c r="AG35" s="263" t="s">
        <v>806</v>
      </c>
      <c r="AH35" s="277" t="s">
        <v>807</v>
      </c>
      <c r="AI35" s="268">
        <f>11970624+20150550</f>
        <v>32121174</v>
      </c>
      <c r="AJ35" s="262">
        <f t="shared" si="3"/>
        <v>0</v>
      </c>
      <c r="AK35" s="267" t="s">
        <v>808</v>
      </c>
      <c r="AL35" s="267" t="s">
        <v>473</v>
      </c>
      <c r="AM35" s="385">
        <f>2992656+2992656+2992656+2992656</f>
        <v>11970624</v>
      </c>
      <c r="AN35" s="11" t="s">
        <v>591</v>
      </c>
    </row>
    <row r="36" spans="1:40" ht="171.75" customHeight="1" x14ac:dyDescent="0.2">
      <c r="A36" s="194" t="s">
        <v>122</v>
      </c>
      <c r="B36" s="70" t="s">
        <v>191</v>
      </c>
      <c r="C36" s="71" t="s">
        <v>341</v>
      </c>
      <c r="D36" s="73" t="s">
        <v>123</v>
      </c>
      <c r="E36" s="11" t="s">
        <v>129</v>
      </c>
      <c r="F36" s="142" t="s">
        <v>129</v>
      </c>
      <c r="G36" s="7" t="s">
        <v>0</v>
      </c>
      <c r="H36" s="44" t="s">
        <v>333</v>
      </c>
      <c r="I36" s="7">
        <v>80111600</v>
      </c>
      <c r="J36" s="7">
        <v>1</v>
      </c>
      <c r="K36" s="7">
        <v>1</v>
      </c>
      <c r="L36" s="7">
        <v>11</v>
      </c>
      <c r="M36" s="7">
        <v>1</v>
      </c>
      <c r="N36" s="103" t="s">
        <v>25</v>
      </c>
      <c r="O36" s="195" t="s">
        <v>330</v>
      </c>
      <c r="P36" s="196">
        <f t="shared" ref="P36" si="17">3318115*11</f>
        <v>36499265</v>
      </c>
      <c r="Q36" s="102">
        <v>0</v>
      </c>
      <c r="R36" s="102">
        <v>0</v>
      </c>
      <c r="S36" s="102" t="s">
        <v>331</v>
      </c>
      <c r="T36" s="102" t="s">
        <v>332</v>
      </c>
      <c r="U36" s="103" t="s">
        <v>572</v>
      </c>
      <c r="V36" s="103">
        <v>3846666</v>
      </c>
      <c r="W36" s="101" t="s">
        <v>190</v>
      </c>
      <c r="X36" s="7" t="s">
        <v>524</v>
      </c>
      <c r="Y36" s="7" t="s">
        <v>456</v>
      </c>
      <c r="Z36" s="103"/>
      <c r="AA36" s="103"/>
      <c r="AB36" s="103"/>
      <c r="AC36" s="144">
        <f t="shared" si="1"/>
        <v>36499265</v>
      </c>
      <c r="AD36" s="207" t="s">
        <v>621</v>
      </c>
      <c r="AE36" s="224">
        <f>12498237-4+23226805-553019</f>
        <v>35172019</v>
      </c>
      <c r="AF36" s="224">
        <f t="shared" si="2"/>
        <v>1327246</v>
      </c>
      <c r="AG36" s="259" t="s">
        <v>742</v>
      </c>
      <c r="AH36" s="260" t="s">
        <v>743</v>
      </c>
      <c r="AI36" s="261">
        <f>12498233+22673786</f>
        <v>35172019</v>
      </c>
      <c r="AJ36" s="262">
        <f t="shared" si="3"/>
        <v>1327246</v>
      </c>
      <c r="AK36" s="263" t="s">
        <v>510</v>
      </c>
      <c r="AL36" s="264" t="s">
        <v>509</v>
      </c>
      <c r="AM36" s="385">
        <f>2543888+3318115+3318115+3318115</f>
        <v>12498233</v>
      </c>
      <c r="AN36" s="12"/>
    </row>
    <row r="37" spans="1:40" ht="162.75" customHeight="1" x14ac:dyDescent="0.2">
      <c r="A37" s="194" t="s">
        <v>122</v>
      </c>
      <c r="B37" s="70" t="s">
        <v>191</v>
      </c>
      <c r="C37" s="71" t="s">
        <v>341</v>
      </c>
      <c r="D37" s="73" t="s">
        <v>123</v>
      </c>
      <c r="E37" s="11" t="s">
        <v>129</v>
      </c>
      <c r="F37" s="142" t="s">
        <v>129</v>
      </c>
      <c r="G37" s="7" t="s">
        <v>0</v>
      </c>
      <c r="H37" s="44" t="s">
        <v>187</v>
      </c>
      <c r="I37" s="7">
        <v>80111600</v>
      </c>
      <c r="J37" s="7">
        <v>1</v>
      </c>
      <c r="K37" s="7">
        <v>1</v>
      </c>
      <c r="L37" s="7">
        <v>11</v>
      </c>
      <c r="M37" s="7">
        <v>1</v>
      </c>
      <c r="N37" s="103" t="s">
        <v>25</v>
      </c>
      <c r="O37" s="195" t="s">
        <v>330</v>
      </c>
      <c r="P37" s="196">
        <f>1224268*11</f>
        <v>13466948</v>
      </c>
      <c r="Q37" s="102">
        <v>0</v>
      </c>
      <c r="R37" s="102">
        <v>0</v>
      </c>
      <c r="S37" s="102" t="s">
        <v>331</v>
      </c>
      <c r="T37" s="102" t="s">
        <v>332</v>
      </c>
      <c r="U37" s="103" t="s">
        <v>572</v>
      </c>
      <c r="V37" s="103">
        <v>3846666</v>
      </c>
      <c r="W37" s="101" t="s">
        <v>190</v>
      </c>
      <c r="X37" s="7" t="s">
        <v>178</v>
      </c>
      <c r="Y37" s="7" t="s">
        <v>456</v>
      </c>
      <c r="Z37" s="103"/>
      <c r="AA37" s="103"/>
      <c r="AB37" s="103"/>
      <c r="AC37" s="144">
        <f t="shared" si="1"/>
        <v>13466948</v>
      </c>
      <c r="AD37" s="228" t="s">
        <v>618</v>
      </c>
      <c r="AE37" s="229">
        <f>4897072+8569876</f>
        <v>13466948</v>
      </c>
      <c r="AF37" s="224">
        <f t="shared" si="2"/>
        <v>0</v>
      </c>
      <c r="AG37" s="263" t="s">
        <v>720</v>
      </c>
      <c r="AH37" s="277" t="s">
        <v>716</v>
      </c>
      <c r="AI37" s="268">
        <f>4897072+8569876</f>
        <v>13466948</v>
      </c>
      <c r="AJ37" s="262">
        <f t="shared" si="3"/>
        <v>0</v>
      </c>
      <c r="AK37" s="267" t="s">
        <v>721</v>
      </c>
      <c r="AL37" s="267" t="s">
        <v>474</v>
      </c>
      <c r="AM37" s="385">
        <f>1224268+1224268+1224268+1224268</f>
        <v>4897072</v>
      </c>
      <c r="AN37" s="12"/>
    </row>
    <row r="38" spans="1:40" ht="144.75" customHeight="1" x14ac:dyDescent="0.2">
      <c r="A38" s="194" t="s">
        <v>122</v>
      </c>
      <c r="B38" s="70" t="s">
        <v>191</v>
      </c>
      <c r="C38" s="71" t="s">
        <v>341</v>
      </c>
      <c r="D38" s="73" t="s">
        <v>123</v>
      </c>
      <c r="E38" s="11" t="s">
        <v>129</v>
      </c>
      <c r="F38" s="142" t="s">
        <v>129</v>
      </c>
      <c r="G38" s="7" t="s">
        <v>0</v>
      </c>
      <c r="H38" s="44" t="s">
        <v>188</v>
      </c>
      <c r="I38" s="7">
        <v>80111600</v>
      </c>
      <c r="J38" s="7">
        <v>1</v>
      </c>
      <c r="K38" s="7">
        <v>1</v>
      </c>
      <c r="L38" s="7">
        <v>11</v>
      </c>
      <c r="M38" s="7">
        <v>1</v>
      </c>
      <c r="N38" s="103" t="s">
        <v>25</v>
      </c>
      <c r="O38" s="195" t="s">
        <v>330</v>
      </c>
      <c r="P38" s="196">
        <f>1224268*11</f>
        <v>13466948</v>
      </c>
      <c r="Q38" s="102">
        <v>0</v>
      </c>
      <c r="R38" s="102">
        <v>0</v>
      </c>
      <c r="S38" s="102" t="s">
        <v>331</v>
      </c>
      <c r="T38" s="102" t="s">
        <v>332</v>
      </c>
      <c r="U38" s="103" t="s">
        <v>572</v>
      </c>
      <c r="V38" s="103">
        <v>3846666</v>
      </c>
      <c r="W38" s="101" t="s">
        <v>190</v>
      </c>
      <c r="X38" s="7" t="s">
        <v>178</v>
      </c>
      <c r="Y38" s="7" t="s">
        <v>456</v>
      </c>
      <c r="Z38" s="103"/>
      <c r="AA38" s="103"/>
      <c r="AB38" s="103"/>
      <c r="AC38" s="144">
        <f t="shared" si="1"/>
        <v>13466948</v>
      </c>
      <c r="AD38" s="228" t="s">
        <v>620</v>
      </c>
      <c r="AE38" s="229">
        <f>4897072+8569876</f>
        <v>13466948</v>
      </c>
      <c r="AF38" s="224">
        <f t="shared" si="2"/>
        <v>0</v>
      </c>
      <c r="AG38" s="263" t="s">
        <v>722</v>
      </c>
      <c r="AH38" s="277" t="s">
        <v>698</v>
      </c>
      <c r="AI38" s="268">
        <f>4897072+8569876</f>
        <v>13466948</v>
      </c>
      <c r="AJ38" s="262">
        <f t="shared" si="3"/>
        <v>0</v>
      </c>
      <c r="AK38" s="267" t="s">
        <v>723</v>
      </c>
      <c r="AL38" s="267" t="s">
        <v>475</v>
      </c>
      <c r="AM38" s="385">
        <f>1224268+1224268+2448537+1224268</f>
        <v>6121341</v>
      </c>
      <c r="AN38" s="318"/>
    </row>
    <row r="39" spans="1:40" ht="269.25" customHeight="1" x14ac:dyDescent="0.2">
      <c r="A39" s="194" t="s">
        <v>122</v>
      </c>
      <c r="B39" s="70" t="s">
        <v>191</v>
      </c>
      <c r="C39" s="71" t="s">
        <v>341</v>
      </c>
      <c r="D39" s="73" t="s">
        <v>123</v>
      </c>
      <c r="E39" s="11" t="s">
        <v>129</v>
      </c>
      <c r="F39" s="119" t="s">
        <v>129</v>
      </c>
      <c r="G39" s="91" t="s">
        <v>342</v>
      </c>
      <c r="H39" s="91" t="s">
        <v>461</v>
      </c>
      <c r="I39" s="91">
        <v>80111600</v>
      </c>
      <c r="J39" s="91">
        <v>1</v>
      </c>
      <c r="K39" s="91">
        <v>1</v>
      </c>
      <c r="L39" s="91">
        <v>4</v>
      </c>
      <c r="M39" s="91">
        <v>1</v>
      </c>
      <c r="N39" s="97" t="s">
        <v>25</v>
      </c>
      <c r="O39" s="195" t="s">
        <v>330</v>
      </c>
      <c r="P39" s="196">
        <f>2448537*6</f>
        <v>14691222</v>
      </c>
      <c r="Q39" s="96">
        <v>0</v>
      </c>
      <c r="R39" s="96">
        <v>0</v>
      </c>
      <c r="S39" s="96" t="s">
        <v>331</v>
      </c>
      <c r="T39" s="96" t="s">
        <v>332</v>
      </c>
      <c r="U39" s="97" t="s">
        <v>572</v>
      </c>
      <c r="V39" s="97">
        <v>3846666</v>
      </c>
      <c r="W39" s="98" t="s">
        <v>190</v>
      </c>
      <c r="X39" s="91" t="s">
        <v>178</v>
      </c>
      <c r="Y39" s="91" t="s">
        <v>456</v>
      </c>
      <c r="Z39" s="97"/>
      <c r="AA39" s="285"/>
      <c r="AB39" s="97"/>
      <c r="AC39" s="161">
        <f t="shared" si="1"/>
        <v>14691222</v>
      </c>
      <c r="AD39" s="228" t="s">
        <v>619</v>
      </c>
      <c r="AE39" s="229">
        <f>7998554+6692668-81618</f>
        <v>14609604</v>
      </c>
      <c r="AF39" s="230">
        <f>+AC39-AE39</f>
        <v>81618</v>
      </c>
      <c r="AG39" s="263" t="s">
        <v>731</v>
      </c>
      <c r="AH39" s="277" t="s">
        <v>732</v>
      </c>
      <c r="AI39" s="268">
        <f>7916936+6692668</f>
        <v>14609604</v>
      </c>
      <c r="AJ39" s="262">
        <f>+AC39-AI39</f>
        <v>81618</v>
      </c>
      <c r="AK39" s="263" t="s">
        <v>733</v>
      </c>
      <c r="AL39" s="267" t="s">
        <v>735</v>
      </c>
      <c r="AM39" s="319">
        <f>571325+2448537+1224268+2448537</f>
        <v>6692667</v>
      </c>
      <c r="AN39" s="11" t="s">
        <v>612</v>
      </c>
    </row>
    <row r="40" spans="1:40" ht="198.75" customHeight="1" x14ac:dyDescent="0.2">
      <c r="A40" s="194" t="s">
        <v>122</v>
      </c>
      <c r="B40" s="70" t="s">
        <v>191</v>
      </c>
      <c r="C40" s="71" t="s">
        <v>341</v>
      </c>
      <c r="D40" s="73" t="s">
        <v>123</v>
      </c>
      <c r="E40" s="11" t="s">
        <v>129</v>
      </c>
      <c r="F40" s="119" t="s">
        <v>129</v>
      </c>
      <c r="G40" s="91" t="s">
        <v>342</v>
      </c>
      <c r="H40" s="91" t="s">
        <v>613</v>
      </c>
      <c r="I40" s="91">
        <v>80111600</v>
      </c>
      <c r="J40" s="91">
        <v>1</v>
      </c>
      <c r="K40" s="91">
        <v>1</v>
      </c>
      <c r="L40" s="91">
        <v>7</v>
      </c>
      <c r="M40" s="91">
        <v>1</v>
      </c>
      <c r="N40" s="97" t="s">
        <v>25</v>
      </c>
      <c r="O40" s="195" t="s">
        <v>330</v>
      </c>
      <c r="P40" s="196">
        <v>0</v>
      </c>
      <c r="Q40" s="96">
        <v>0</v>
      </c>
      <c r="R40" s="96">
        <v>0</v>
      </c>
      <c r="S40" s="96" t="s">
        <v>331</v>
      </c>
      <c r="T40" s="96" t="s">
        <v>332</v>
      </c>
      <c r="U40" s="97" t="s">
        <v>572</v>
      </c>
      <c r="V40" s="97">
        <v>3846666</v>
      </c>
      <c r="W40" s="98" t="s">
        <v>190</v>
      </c>
      <c r="X40" s="91" t="s">
        <v>178</v>
      </c>
      <c r="Y40" s="91" t="s">
        <v>456</v>
      </c>
      <c r="Z40" s="285">
        <v>10447091</v>
      </c>
      <c r="AA40" s="285"/>
      <c r="AB40" s="97"/>
      <c r="AC40" s="161">
        <f t="shared" ref="AC40" si="18">P40+Z40+AA40-AB40</f>
        <v>10447091</v>
      </c>
      <c r="AD40" s="228">
        <v>16823</v>
      </c>
      <c r="AE40" s="229">
        <f>10447091-81618</f>
        <v>10365473</v>
      </c>
      <c r="AF40" s="230">
        <f t="shared" ref="AF40" si="19">+AC40-AE40</f>
        <v>81618</v>
      </c>
      <c r="AG40" s="263">
        <v>19023</v>
      </c>
      <c r="AH40" s="266">
        <v>45079</v>
      </c>
      <c r="AI40" s="268">
        <v>10365473</v>
      </c>
      <c r="AJ40" s="262">
        <f t="shared" ref="AJ40" si="20">+AC40-AI40</f>
        <v>81618</v>
      </c>
      <c r="AK40" s="263" t="s">
        <v>734</v>
      </c>
      <c r="AL40" s="263" t="s">
        <v>736</v>
      </c>
      <c r="AM40" s="390"/>
      <c r="AN40" s="11" t="s">
        <v>588</v>
      </c>
    </row>
    <row r="41" spans="1:40" ht="110.25" customHeight="1" x14ac:dyDescent="0.2">
      <c r="A41" s="194" t="s">
        <v>122</v>
      </c>
      <c r="B41" s="70" t="s">
        <v>191</v>
      </c>
      <c r="C41" s="71" t="s">
        <v>341</v>
      </c>
      <c r="D41" s="30" t="s">
        <v>123</v>
      </c>
      <c r="E41" s="4" t="s">
        <v>222</v>
      </c>
      <c r="F41" s="31" t="s">
        <v>222</v>
      </c>
      <c r="G41" s="31" t="s">
        <v>223</v>
      </c>
      <c r="H41" s="170" t="s">
        <v>225</v>
      </c>
      <c r="I41" s="170" t="s">
        <v>226</v>
      </c>
      <c r="J41" s="170">
        <v>3</v>
      </c>
      <c r="K41" s="170">
        <v>4</v>
      </c>
      <c r="L41" s="170">
        <v>3</v>
      </c>
      <c r="M41" s="170">
        <v>1</v>
      </c>
      <c r="N41" s="180" t="s">
        <v>86</v>
      </c>
      <c r="O41" s="169" t="s">
        <v>405</v>
      </c>
      <c r="P41" s="196">
        <v>80000000</v>
      </c>
      <c r="Q41" s="181">
        <v>0</v>
      </c>
      <c r="R41" s="181">
        <v>0</v>
      </c>
      <c r="S41" s="181" t="s">
        <v>331</v>
      </c>
      <c r="T41" s="181" t="s">
        <v>332</v>
      </c>
      <c r="U41" s="182" t="s">
        <v>572</v>
      </c>
      <c r="V41" s="182">
        <v>3846666</v>
      </c>
      <c r="W41" s="183" t="s">
        <v>190</v>
      </c>
      <c r="X41" s="184" t="s">
        <v>27</v>
      </c>
      <c r="Y41" s="184" t="s">
        <v>238</v>
      </c>
      <c r="Z41" s="182"/>
      <c r="AA41" s="182"/>
      <c r="AB41" s="182"/>
      <c r="AC41" s="185">
        <f t="shared" si="1"/>
        <v>80000000</v>
      </c>
      <c r="AD41" s="246"/>
      <c r="AE41" s="244"/>
      <c r="AF41" s="242">
        <f t="shared" si="2"/>
        <v>80000000</v>
      </c>
      <c r="AG41" s="265"/>
      <c r="AH41" s="265"/>
      <c r="AI41" s="314"/>
      <c r="AJ41" s="258">
        <f t="shared" si="3"/>
        <v>80000000</v>
      </c>
      <c r="AK41" s="265"/>
      <c r="AL41" s="265"/>
      <c r="AM41" s="305"/>
      <c r="AN41" s="245"/>
    </row>
    <row r="42" spans="1:40" ht="110.25" customHeight="1" x14ac:dyDescent="0.2">
      <c r="A42" s="194" t="s">
        <v>122</v>
      </c>
      <c r="B42" s="70" t="s">
        <v>191</v>
      </c>
      <c r="C42" s="71" t="s">
        <v>341</v>
      </c>
      <c r="D42" s="30" t="s">
        <v>123</v>
      </c>
      <c r="E42" s="4" t="s">
        <v>222</v>
      </c>
      <c r="F42" s="31" t="s">
        <v>222</v>
      </c>
      <c r="G42" s="31" t="s">
        <v>223</v>
      </c>
      <c r="H42" s="170" t="s">
        <v>227</v>
      </c>
      <c r="I42" s="170" t="s">
        <v>425</v>
      </c>
      <c r="J42" s="170">
        <v>3</v>
      </c>
      <c r="K42" s="170">
        <v>4</v>
      </c>
      <c r="L42" s="170">
        <v>2</v>
      </c>
      <c r="M42" s="170">
        <v>1</v>
      </c>
      <c r="N42" s="180" t="s">
        <v>86</v>
      </c>
      <c r="O42" s="169" t="s">
        <v>405</v>
      </c>
      <c r="P42" s="196">
        <v>20000000</v>
      </c>
      <c r="Q42" s="181">
        <v>0</v>
      </c>
      <c r="R42" s="181">
        <v>0</v>
      </c>
      <c r="S42" s="181" t="s">
        <v>331</v>
      </c>
      <c r="T42" s="181" t="s">
        <v>332</v>
      </c>
      <c r="U42" s="182" t="s">
        <v>572</v>
      </c>
      <c r="V42" s="182">
        <v>3846666</v>
      </c>
      <c r="W42" s="183" t="s">
        <v>190</v>
      </c>
      <c r="X42" s="184" t="s">
        <v>27</v>
      </c>
      <c r="Y42" s="184" t="s">
        <v>238</v>
      </c>
      <c r="Z42" s="182"/>
      <c r="AA42" s="182"/>
      <c r="AB42" s="182"/>
      <c r="AC42" s="185">
        <f t="shared" si="1"/>
        <v>20000000</v>
      </c>
      <c r="AD42" s="246"/>
      <c r="AE42" s="244"/>
      <c r="AF42" s="242">
        <f t="shared" si="2"/>
        <v>20000000</v>
      </c>
      <c r="AG42" s="265"/>
      <c r="AH42" s="265"/>
      <c r="AI42" s="314"/>
      <c r="AJ42" s="258">
        <f t="shared" si="3"/>
        <v>20000000</v>
      </c>
      <c r="AK42" s="265"/>
      <c r="AL42" s="265"/>
      <c r="AM42" s="305"/>
      <c r="AN42" s="245"/>
    </row>
    <row r="43" spans="1:40" ht="110.25" customHeight="1" x14ac:dyDescent="0.2">
      <c r="A43" s="194" t="s">
        <v>122</v>
      </c>
      <c r="B43" s="70" t="s">
        <v>191</v>
      </c>
      <c r="C43" s="71" t="s">
        <v>341</v>
      </c>
      <c r="D43" s="30" t="s">
        <v>123</v>
      </c>
      <c r="E43" s="4" t="s">
        <v>222</v>
      </c>
      <c r="F43" s="7" t="s">
        <v>222</v>
      </c>
      <c r="G43" s="7" t="s">
        <v>224</v>
      </c>
      <c r="H43" s="44" t="s">
        <v>228</v>
      </c>
      <c r="I43" s="7" t="s">
        <v>229</v>
      </c>
      <c r="J43" s="100">
        <v>1</v>
      </c>
      <c r="K43" s="100">
        <v>1</v>
      </c>
      <c r="L43" s="100">
        <v>11</v>
      </c>
      <c r="M43" s="44">
        <v>1</v>
      </c>
      <c r="N43" s="100" t="s">
        <v>86</v>
      </c>
      <c r="O43" s="169" t="s">
        <v>330</v>
      </c>
      <c r="P43" s="196">
        <v>72000000</v>
      </c>
      <c r="Q43" s="102">
        <v>0</v>
      </c>
      <c r="R43" s="102">
        <v>0</v>
      </c>
      <c r="S43" s="102" t="s">
        <v>331</v>
      </c>
      <c r="T43" s="102" t="s">
        <v>332</v>
      </c>
      <c r="U43" s="103" t="s">
        <v>572</v>
      </c>
      <c r="V43" s="103">
        <v>3846666</v>
      </c>
      <c r="W43" s="101" t="s">
        <v>190</v>
      </c>
      <c r="X43" s="100" t="s">
        <v>26</v>
      </c>
      <c r="Y43" s="44" t="s">
        <v>238</v>
      </c>
      <c r="Z43" s="103"/>
      <c r="AA43" s="103"/>
      <c r="AB43" s="103"/>
      <c r="AC43" s="144">
        <f t="shared" si="1"/>
        <v>72000000</v>
      </c>
      <c r="AD43" s="207">
        <v>4623</v>
      </c>
      <c r="AE43" s="209">
        <v>72000000</v>
      </c>
      <c r="AF43" s="224">
        <f t="shared" si="2"/>
        <v>0</v>
      </c>
      <c r="AG43" s="263">
        <v>6123</v>
      </c>
      <c r="AH43" s="266">
        <v>44987</v>
      </c>
      <c r="AI43" s="268">
        <v>72000000</v>
      </c>
      <c r="AJ43" s="262">
        <f t="shared" si="3"/>
        <v>0</v>
      </c>
      <c r="AK43" s="263" t="s">
        <v>519</v>
      </c>
      <c r="AL43" s="263" t="s">
        <v>518</v>
      </c>
      <c r="AM43" s="387">
        <f>7634000.01+568884.08+881359.68+8585999.94</f>
        <v>17670243.710000001</v>
      </c>
      <c r="AN43" s="12"/>
    </row>
    <row r="44" spans="1:40" ht="110.25" customHeight="1" x14ac:dyDescent="0.2">
      <c r="A44" s="194" t="s">
        <v>122</v>
      </c>
      <c r="B44" s="70" t="s">
        <v>191</v>
      </c>
      <c r="C44" s="71" t="s">
        <v>341</v>
      </c>
      <c r="D44" s="30" t="s">
        <v>123</v>
      </c>
      <c r="E44" s="4" t="s">
        <v>222</v>
      </c>
      <c r="F44" s="7" t="s">
        <v>222</v>
      </c>
      <c r="G44" s="7" t="s">
        <v>224</v>
      </c>
      <c r="H44" s="44" t="s">
        <v>493</v>
      </c>
      <c r="I44" s="7" t="s">
        <v>229</v>
      </c>
      <c r="J44" s="7" t="s">
        <v>559</v>
      </c>
      <c r="K44" s="7" t="s">
        <v>559</v>
      </c>
      <c r="L44" s="7" t="s">
        <v>561</v>
      </c>
      <c r="M44" s="44" t="s">
        <v>560</v>
      </c>
      <c r="N44" s="100" t="s">
        <v>282</v>
      </c>
      <c r="O44" s="169" t="s">
        <v>330</v>
      </c>
      <c r="P44" s="196">
        <v>40300000</v>
      </c>
      <c r="Q44" s="102">
        <v>0</v>
      </c>
      <c r="R44" s="102">
        <v>0</v>
      </c>
      <c r="S44" s="102" t="s">
        <v>331</v>
      </c>
      <c r="T44" s="102" t="s">
        <v>332</v>
      </c>
      <c r="U44" s="103" t="s">
        <v>572</v>
      </c>
      <c r="V44" s="103">
        <v>3846666</v>
      </c>
      <c r="W44" s="101" t="s">
        <v>190</v>
      </c>
      <c r="X44" s="100" t="s">
        <v>26</v>
      </c>
      <c r="Y44" s="44" t="s">
        <v>562</v>
      </c>
      <c r="Z44" s="103"/>
      <c r="AA44" s="307">
        <v>4284945</v>
      </c>
      <c r="AB44" s="144">
        <v>13000000</v>
      </c>
      <c r="AC44" s="144">
        <f t="shared" si="1"/>
        <v>31584945</v>
      </c>
      <c r="AD44" s="207">
        <v>10223</v>
      </c>
      <c r="AE44" s="209">
        <f>31584945-946945</f>
        <v>30638000</v>
      </c>
      <c r="AF44" s="224">
        <f t="shared" si="2"/>
        <v>946945</v>
      </c>
      <c r="AG44" s="263">
        <v>17023</v>
      </c>
      <c r="AH44" s="266">
        <v>45072</v>
      </c>
      <c r="AI44" s="268">
        <v>30638000</v>
      </c>
      <c r="AJ44" s="262">
        <f t="shared" si="3"/>
        <v>946945</v>
      </c>
      <c r="AK44" s="263" t="s">
        <v>672</v>
      </c>
      <c r="AL44" s="263" t="s">
        <v>670</v>
      </c>
      <c r="AM44" s="305"/>
      <c r="AN44" s="243" t="s">
        <v>481</v>
      </c>
    </row>
    <row r="45" spans="1:40" ht="110.25" customHeight="1" x14ac:dyDescent="0.2">
      <c r="A45" s="194" t="s">
        <v>122</v>
      </c>
      <c r="B45" s="70" t="s">
        <v>191</v>
      </c>
      <c r="C45" s="71" t="s">
        <v>341</v>
      </c>
      <c r="D45" s="30" t="s">
        <v>123</v>
      </c>
      <c r="E45" s="4" t="s">
        <v>222</v>
      </c>
      <c r="F45" s="7" t="s">
        <v>222</v>
      </c>
      <c r="G45" s="7" t="s">
        <v>224</v>
      </c>
      <c r="H45" s="44" t="s">
        <v>494</v>
      </c>
      <c r="I45" s="7" t="s">
        <v>229</v>
      </c>
      <c r="J45" s="7" t="s">
        <v>559</v>
      </c>
      <c r="K45" s="7" t="s">
        <v>559</v>
      </c>
      <c r="L45" s="7" t="s">
        <v>574</v>
      </c>
      <c r="M45" s="44">
        <v>1</v>
      </c>
      <c r="N45" s="100" t="s">
        <v>282</v>
      </c>
      <c r="O45" s="169" t="s">
        <v>330</v>
      </c>
      <c r="P45" s="196">
        <v>0</v>
      </c>
      <c r="Q45" s="102">
        <v>0</v>
      </c>
      <c r="R45" s="102">
        <v>0</v>
      </c>
      <c r="S45" s="102" t="s">
        <v>331</v>
      </c>
      <c r="T45" s="102" t="s">
        <v>332</v>
      </c>
      <c r="U45" s="103" t="s">
        <v>572</v>
      </c>
      <c r="V45" s="103">
        <v>3846666</v>
      </c>
      <c r="W45" s="101" t="s">
        <v>190</v>
      </c>
      <c r="X45" s="100" t="s">
        <v>26</v>
      </c>
      <c r="Y45" s="44" t="s">
        <v>562</v>
      </c>
      <c r="Z45" s="144">
        <v>13000000</v>
      </c>
      <c r="AA45" s="307">
        <v>6855912</v>
      </c>
      <c r="AB45" s="307">
        <v>7905912</v>
      </c>
      <c r="AC45" s="144">
        <f t="shared" ref="AC45" si="21">P45+Z45+AA45-AB45</f>
        <v>11950000</v>
      </c>
      <c r="AD45" s="207">
        <v>11123</v>
      </c>
      <c r="AE45" s="209">
        <f>19855912-7905912</f>
        <v>11950000</v>
      </c>
      <c r="AF45" s="224">
        <f t="shared" ref="AF45" si="22">+AC45-AE45</f>
        <v>0</v>
      </c>
      <c r="AG45" s="263">
        <v>15823</v>
      </c>
      <c r="AH45" s="266">
        <v>45064</v>
      </c>
      <c r="AI45" s="268">
        <v>11950000</v>
      </c>
      <c r="AJ45" s="262">
        <f t="shared" ref="AJ45" si="23">+AC45-AI45</f>
        <v>0</v>
      </c>
      <c r="AK45" s="263" t="s">
        <v>671</v>
      </c>
      <c r="AL45" s="263" t="s">
        <v>670</v>
      </c>
      <c r="AM45" s="305"/>
      <c r="AN45" s="368" t="s">
        <v>627</v>
      </c>
    </row>
    <row r="46" spans="1:40" ht="110.25" customHeight="1" x14ac:dyDescent="0.2">
      <c r="A46" s="194" t="s">
        <v>122</v>
      </c>
      <c r="B46" s="70" t="s">
        <v>191</v>
      </c>
      <c r="C46" s="71" t="s">
        <v>341</v>
      </c>
      <c r="D46" s="30" t="s">
        <v>123</v>
      </c>
      <c r="E46" s="4" t="s">
        <v>222</v>
      </c>
      <c r="F46" s="7" t="s">
        <v>222</v>
      </c>
      <c r="G46" s="7" t="s">
        <v>224</v>
      </c>
      <c r="H46" s="44" t="s">
        <v>230</v>
      </c>
      <c r="I46" s="7" t="s">
        <v>229</v>
      </c>
      <c r="J46" s="7" t="s">
        <v>483</v>
      </c>
      <c r="K46" s="7" t="s">
        <v>483</v>
      </c>
      <c r="L46" s="7" t="s">
        <v>482</v>
      </c>
      <c r="M46" s="44">
        <v>0</v>
      </c>
      <c r="N46" s="100" t="s">
        <v>86</v>
      </c>
      <c r="O46" s="169" t="s">
        <v>330</v>
      </c>
      <c r="P46" s="196">
        <v>21000000</v>
      </c>
      <c r="Q46" s="102">
        <v>0</v>
      </c>
      <c r="R46" s="102">
        <v>0</v>
      </c>
      <c r="S46" s="102" t="s">
        <v>331</v>
      </c>
      <c r="T46" s="102" t="s">
        <v>332</v>
      </c>
      <c r="U46" s="103" t="s">
        <v>572</v>
      </c>
      <c r="V46" s="103">
        <v>3846666</v>
      </c>
      <c r="W46" s="101" t="s">
        <v>190</v>
      </c>
      <c r="X46" s="100" t="s">
        <v>26</v>
      </c>
      <c r="Y46" s="44" t="s">
        <v>238</v>
      </c>
      <c r="Z46" s="103"/>
      <c r="AA46" s="144">
        <v>6851602</v>
      </c>
      <c r="AB46" s="103"/>
      <c r="AC46" s="144">
        <f t="shared" si="1"/>
        <v>27851602</v>
      </c>
      <c r="AD46" s="246"/>
      <c r="AE46" s="244"/>
      <c r="AF46" s="242">
        <f t="shared" si="2"/>
        <v>27851602</v>
      </c>
      <c r="AG46" s="265"/>
      <c r="AH46" s="265"/>
      <c r="AI46" s="314"/>
      <c r="AJ46" s="258">
        <f t="shared" si="3"/>
        <v>27851602</v>
      </c>
      <c r="AK46" s="265"/>
      <c r="AL46" s="265"/>
      <c r="AM46" s="305"/>
      <c r="AN46" s="243" t="s">
        <v>481</v>
      </c>
    </row>
    <row r="47" spans="1:40" ht="187.5" customHeight="1" x14ac:dyDescent="0.2">
      <c r="A47" s="194" t="s">
        <v>122</v>
      </c>
      <c r="B47" s="70" t="s">
        <v>191</v>
      </c>
      <c r="C47" s="71" t="s">
        <v>341</v>
      </c>
      <c r="D47" s="30" t="s">
        <v>123</v>
      </c>
      <c r="E47" s="4" t="s">
        <v>222</v>
      </c>
      <c r="F47" s="7" t="s">
        <v>222</v>
      </c>
      <c r="G47" s="7" t="s">
        <v>224</v>
      </c>
      <c r="H47" s="42" t="s">
        <v>766</v>
      </c>
      <c r="I47" s="40" t="s">
        <v>767</v>
      </c>
      <c r="J47" s="40" t="s">
        <v>768</v>
      </c>
      <c r="K47" s="40" t="s">
        <v>768</v>
      </c>
      <c r="L47" s="40" t="s">
        <v>769</v>
      </c>
      <c r="M47" s="42">
        <v>1</v>
      </c>
      <c r="N47" s="100" t="s">
        <v>86</v>
      </c>
      <c r="O47" s="169" t="s">
        <v>330</v>
      </c>
      <c r="P47" s="196">
        <v>21000000</v>
      </c>
      <c r="Q47" s="102">
        <v>0</v>
      </c>
      <c r="R47" s="102">
        <v>0</v>
      </c>
      <c r="S47" s="102" t="s">
        <v>331</v>
      </c>
      <c r="T47" s="102" t="s">
        <v>332</v>
      </c>
      <c r="U47" s="103" t="s">
        <v>572</v>
      </c>
      <c r="V47" s="103">
        <v>3846666</v>
      </c>
      <c r="W47" s="101" t="s">
        <v>190</v>
      </c>
      <c r="X47" s="100" t="s">
        <v>26</v>
      </c>
      <c r="Y47" s="44" t="s">
        <v>238</v>
      </c>
      <c r="Z47" s="103"/>
      <c r="AA47" s="144">
        <v>6851602</v>
      </c>
      <c r="AB47" s="309">
        <v>2830000</v>
      </c>
      <c r="AC47" s="144">
        <f t="shared" si="1"/>
        <v>25021602</v>
      </c>
      <c r="AD47" s="247"/>
      <c r="AE47" s="244"/>
      <c r="AF47" s="242">
        <f t="shared" si="2"/>
        <v>25021602</v>
      </c>
      <c r="AG47" s="265"/>
      <c r="AH47" s="265"/>
      <c r="AI47" s="314"/>
      <c r="AJ47" s="258">
        <f t="shared" si="3"/>
        <v>25021602</v>
      </c>
      <c r="AK47" s="265"/>
      <c r="AL47" s="265"/>
      <c r="AM47" s="305"/>
      <c r="AN47" s="368" t="s">
        <v>627</v>
      </c>
    </row>
    <row r="48" spans="1:40" ht="187.5" customHeight="1" x14ac:dyDescent="0.2">
      <c r="A48" s="194" t="s">
        <v>122</v>
      </c>
      <c r="B48" s="70" t="s">
        <v>191</v>
      </c>
      <c r="C48" s="71" t="s">
        <v>341</v>
      </c>
      <c r="D48" s="30" t="s">
        <v>123</v>
      </c>
      <c r="E48" s="4" t="s">
        <v>222</v>
      </c>
      <c r="F48" s="7" t="s">
        <v>222</v>
      </c>
      <c r="G48" s="7" t="s">
        <v>224</v>
      </c>
      <c r="H48" s="42" t="s">
        <v>770</v>
      </c>
      <c r="I48" s="40" t="s">
        <v>771</v>
      </c>
      <c r="J48" s="40">
        <v>7</v>
      </c>
      <c r="K48" s="40">
        <v>7</v>
      </c>
      <c r="L48" s="40">
        <v>6</v>
      </c>
      <c r="M48" s="42">
        <v>1</v>
      </c>
      <c r="N48" s="100" t="s">
        <v>821</v>
      </c>
      <c r="O48" s="169" t="s">
        <v>330</v>
      </c>
      <c r="P48" s="196">
        <v>0</v>
      </c>
      <c r="Q48" s="102">
        <v>0</v>
      </c>
      <c r="R48" s="102">
        <v>0</v>
      </c>
      <c r="S48" s="102" t="s">
        <v>331</v>
      </c>
      <c r="T48" s="102" t="s">
        <v>332</v>
      </c>
      <c r="U48" s="103" t="s">
        <v>572</v>
      </c>
      <c r="V48" s="103">
        <v>3846666</v>
      </c>
      <c r="W48" s="101" t="s">
        <v>190</v>
      </c>
      <c r="X48" s="7" t="s">
        <v>178</v>
      </c>
      <c r="Y48" s="44" t="s">
        <v>562</v>
      </c>
      <c r="Z48" s="309">
        <v>2830000</v>
      </c>
      <c r="AA48" s="144"/>
      <c r="AB48" s="307"/>
      <c r="AC48" s="144">
        <f t="shared" ref="AC48" si="24">P48+Z48+AA48-AB48</f>
        <v>2830000</v>
      </c>
      <c r="AD48" s="247"/>
      <c r="AE48" s="244"/>
      <c r="AF48" s="242">
        <f t="shared" ref="AF48" si="25">+AC48-AE48</f>
        <v>2830000</v>
      </c>
      <c r="AG48" s="265"/>
      <c r="AH48" s="265"/>
      <c r="AI48" s="314"/>
      <c r="AJ48" s="258">
        <f t="shared" ref="AJ48" si="26">+AC48-AI48</f>
        <v>2830000</v>
      </c>
      <c r="AK48" s="265"/>
      <c r="AL48" s="265"/>
      <c r="AM48" s="305"/>
      <c r="AN48" s="368" t="s">
        <v>588</v>
      </c>
    </row>
    <row r="49" spans="1:40" ht="110.25" customHeight="1" x14ac:dyDescent="0.2">
      <c r="A49" s="194" t="s">
        <v>122</v>
      </c>
      <c r="B49" s="70" t="s">
        <v>191</v>
      </c>
      <c r="C49" s="71" t="s">
        <v>341</v>
      </c>
      <c r="D49" s="30" t="s">
        <v>123</v>
      </c>
      <c r="E49" s="4" t="s">
        <v>222</v>
      </c>
      <c r="F49" s="7" t="s">
        <v>222</v>
      </c>
      <c r="G49" s="7" t="s">
        <v>224</v>
      </c>
      <c r="H49" s="44" t="s">
        <v>231</v>
      </c>
      <c r="I49" s="7">
        <v>82121901</v>
      </c>
      <c r="J49" s="100">
        <v>1</v>
      </c>
      <c r="K49" s="100">
        <v>1</v>
      </c>
      <c r="L49" s="100" t="s">
        <v>422</v>
      </c>
      <c r="M49" s="44">
        <v>0</v>
      </c>
      <c r="N49" s="100" t="s">
        <v>25</v>
      </c>
      <c r="O49" s="169" t="s">
        <v>330</v>
      </c>
      <c r="P49" s="196">
        <f>2538090*11.5</f>
        <v>29188035</v>
      </c>
      <c r="Q49" s="102">
        <v>0</v>
      </c>
      <c r="R49" s="102">
        <v>0</v>
      </c>
      <c r="S49" s="102" t="s">
        <v>331</v>
      </c>
      <c r="T49" s="102" t="s">
        <v>332</v>
      </c>
      <c r="U49" s="103" t="s">
        <v>572</v>
      </c>
      <c r="V49" s="103">
        <v>3846666</v>
      </c>
      <c r="W49" s="101" t="s">
        <v>190</v>
      </c>
      <c r="X49" s="7" t="s">
        <v>178</v>
      </c>
      <c r="Y49" s="44" t="s">
        <v>238</v>
      </c>
      <c r="Z49" s="103"/>
      <c r="AA49" s="103"/>
      <c r="AB49" s="103"/>
      <c r="AC49" s="144">
        <f t="shared" si="1"/>
        <v>29188035</v>
      </c>
      <c r="AD49" s="208" t="s">
        <v>614</v>
      </c>
      <c r="AE49" s="209">
        <f>10152360+19035675-84603</f>
        <v>29103432</v>
      </c>
      <c r="AF49" s="224">
        <f t="shared" si="2"/>
        <v>84603</v>
      </c>
      <c r="AG49" s="263" t="s">
        <v>668</v>
      </c>
      <c r="AH49" s="277" t="s">
        <v>666</v>
      </c>
      <c r="AI49" s="315">
        <f>10152360+18951072</f>
        <v>29103432</v>
      </c>
      <c r="AJ49" s="262">
        <f t="shared" si="3"/>
        <v>84603</v>
      </c>
      <c r="AK49" s="267" t="s">
        <v>669</v>
      </c>
      <c r="AL49" s="267" t="s">
        <v>447</v>
      </c>
      <c r="AM49" s="385">
        <f>1269045+2538090+2538090+2538090+1269045+1184442</f>
        <v>11336802</v>
      </c>
      <c r="AN49" s="12"/>
    </row>
    <row r="50" spans="1:40" ht="110.25" customHeight="1" x14ac:dyDescent="0.2">
      <c r="A50" s="194" t="s">
        <v>122</v>
      </c>
      <c r="B50" s="70" t="s">
        <v>191</v>
      </c>
      <c r="C50" s="71" t="s">
        <v>341</v>
      </c>
      <c r="D50" s="30" t="s">
        <v>123</v>
      </c>
      <c r="E50" s="4" t="s">
        <v>222</v>
      </c>
      <c r="F50" s="7" t="s">
        <v>222</v>
      </c>
      <c r="G50" s="7" t="s">
        <v>224</v>
      </c>
      <c r="H50" s="44" t="s">
        <v>232</v>
      </c>
      <c r="I50" s="7">
        <v>82121901</v>
      </c>
      <c r="J50" s="100">
        <v>1</v>
      </c>
      <c r="K50" s="100">
        <v>1</v>
      </c>
      <c r="L50" s="100">
        <v>11</v>
      </c>
      <c r="M50" s="44">
        <v>1</v>
      </c>
      <c r="N50" s="100" t="s">
        <v>25</v>
      </c>
      <c r="O50" s="169" t="s">
        <v>330</v>
      </c>
      <c r="P50" s="196">
        <f>1903793*11</f>
        <v>20941723</v>
      </c>
      <c r="Q50" s="102">
        <v>0</v>
      </c>
      <c r="R50" s="102">
        <v>0</v>
      </c>
      <c r="S50" s="102" t="s">
        <v>331</v>
      </c>
      <c r="T50" s="102" t="s">
        <v>332</v>
      </c>
      <c r="U50" s="103" t="s">
        <v>572</v>
      </c>
      <c r="V50" s="103">
        <v>3846666</v>
      </c>
      <c r="W50" s="101" t="s">
        <v>190</v>
      </c>
      <c r="X50" s="7" t="s">
        <v>178</v>
      </c>
      <c r="Y50" s="44" t="s">
        <v>238</v>
      </c>
      <c r="Z50" s="103"/>
      <c r="AA50" s="103"/>
      <c r="AB50" s="103"/>
      <c r="AC50" s="144">
        <f t="shared" si="1"/>
        <v>20941723</v>
      </c>
      <c r="AD50" s="213" t="s">
        <v>663</v>
      </c>
      <c r="AE50" s="224">
        <f>7615172-444218+13326551</f>
        <v>20497505</v>
      </c>
      <c r="AF50" s="224">
        <f t="shared" si="2"/>
        <v>444218</v>
      </c>
      <c r="AG50" s="259" t="s">
        <v>709</v>
      </c>
      <c r="AH50" s="260" t="s">
        <v>710</v>
      </c>
      <c r="AI50" s="261">
        <f>7170954+13326551</f>
        <v>20497505</v>
      </c>
      <c r="AJ50" s="262">
        <f t="shared" si="3"/>
        <v>444218</v>
      </c>
      <c r="AK50" s="267" t="s">
        <v>711</v>
      </c>
      <c r="AL50" s="264" t="s">
        <v>511</v>
      </c>
      <c r="AM50" s="385">
        <f>1459575+1903793+1903793+1903793</f>
        <v>7170954</v>
      </c>
      <c r="AN50" s="12"/>
    </row>
    <row r="51" spans="1:40" ht="165" customHeight="1" x14ac:dyDescent="0.2">
      <c r="A51" s="194" t="s">
        <v>122</v>
      </c>
      <c r="B51" s="70" t="s">
        <v>191</v>
      </c>
      <c r="C51" s="71" t="s">
        <v>341</v>
      </c>
      <c r="D51" s="30" t="s">
        <v>123</v>
      </c>
      <c r="E51" s="4" t="s">
        <v>222</v>
      </c>
      <c r="F51" s="7" t="s">
        <v>222</v>
      </c>
      <c r="G51" s="7" t="s">
        <v>224</v>
      </c>
      <c r="H51" s="44" t="s">
        <v>495</v>
      </c>
      <c r="I51" s="7">
        <v>82121901</v>
      </c>
      <c r="J51" s="7" t="s">
        <v>629</v>
      </c>
      <c r="K51" s="7" t="s">
        <v>629</v>
      </c>
      <c r="L51" s="7" t="s">
        <v>630</v>
      </c>
      <c r="M51" s="44">
        <v>1</v>
      </c>
      <c r="N51" s="100" t="s">
        <v>25</v>
      </c>
      <c r="O51" s="169" t="s">
        <v>330</v>
      </c>
      <c r="P51" s="196">
        <f>2589302*11</f>
        <v>28482322</v>
      </c>
      <c r="Q51" s="102">
        <v>0</v>
      </c>
      <c r="R51" s="102">
        <v>0</v>
      </c>
      <c r="S51" s="102" t="s">
        <v>331</v>
      </c>
      <c r="T51" s="102" t="s">
        <v>332</v>
      </c>
      <c r="U51" s="103" t="s">
        <v>572</v>
      </c>
      <c r="V51" s="103">
        <v>3846666</v>
      </c>
      <c r="W51" s="101" t="s">
        <v>190</v>
      </c>
      <c r="X51" s="7" t="s">
        <v>178</v>
      </c>
      <c r="Y51" s="44" t="s">
        <v>238</v>
      </c>
      <c r="Z51" s="103"/>
      <c r="AA51" s="103"/>
      <c r="AB51" s="144">
        <f>1903793+7540599</f>
        <v>9444392</v>
      </c>
      <c r="AC51" s="144">
        <f t="shared" si="1"/>
        <v>19037930</v>
      </c>
      <c r="AD51" s="213" t="s">
        <v>664</v>
      </c>
      <c r="AE51" s="209">
        <f>7615172-1903793+13326551</f>
        <v>19037930</v>
      </c>
      <c r="AF51" s="224">
        <f t="shared" si="2"/>
        <v>0</v>
      </c>
      <c r="AG51" s="263" t="s">
        <v>705</v>
      </c>
      <c r="AH51" s="391" t="s">
        <v>706</v>
      </c>
      <c r="AI51" s="268">
        <f>5711379+13326551</f>
        <v>19037930</v>
      </c>
      <c r="AJ51" s="262">
        <f t="shared" si="3"/>
        <v>0</v>
      </c>
      <c r="AK51" s="267" t="s">
        <v>707</v>
      </c>
      <c r="AL51" s="263" t="s">
        <v>522</v>
      </c>
      <c r="AM51" s="319">
        <f>1903793+1903793+1903793</f>
        <v>5711379</v>
      </c>
      <c r="AN51" s="11" t="s">
        <v>591</v>
      </c>
    </row>
    <row r="52" spans="1:40" ht="110.25" customHeight="1" x14ac:dyDescent="0.2">
      <c r="A52" s="194" t="s">
        <v>122</v>
      </c>
      <c r="B52" s="70" t="s">
        <v>191</v>
      </c>
      <c r="C52" s="71" t="s">
        <v>341</v>
      </c>
      <c r="D52" s="30" t="s">
        <v>123</v>
      </c>
      <c r="E52" s="4" t="s">
        <v>222</v>
      </c>
      <c r="F52" s="7" t="s">
        <v>222</v>
      </c>
      <c r="G52" s="7" t="s">
        <v>224</v>
      </c>
      <c r="H52" s="44" t="s">
        <v>233</v>
      </c>
      <c r="I52" s="7">
        <v>82121901</v>
      </c>
      <c r="J52" s="7" t="s">
        <v>483</v>
      </c>
      <c r="K52" s="7" t="s">
        <v>483</v>
      </c>
      <c r="L52" s="7">
        <v>1</v>
      </c>
      <c r="M52" s="44">
        <v>1</v>
      </c>
      <c r="N52" s="100" t="s">
        <v>25</v>
      </c>
      <c r="O52" s="169" t="s">
        <v>330</v>
      </c>
      <c r="P52" s="196">
        <v>0</v>
      </c>
      <c r="Q52" s="102">
        <v>0</v>
      </c>
      <c r="R52" s="102">
        <v>0</v>
      </c>
      <c r="S52" s="102" t="s">
        <v>331</v>
      </c>
      <c r="T52" s="102" t="s">
        <v>332</v>
      </c>
      <c r="U52" s="103" t="s">
        <v>572</v>
      </c>
      <c r="V52" s="103">
        <v>3846666</v>
      </c>
      <c r="W52" s="101" t="s">
        <v>190</v>
      </c>
      <c r="X52" s="44" t="s">
        <v>178</v>
      </c>
      <c r="Y52" s="44" t="s">
        <v>238</v>
      </c>
      <c r="Z52" s="144">
        <v>1903793</v>
      </c>
      <c r="AA52" s="103"/>
      <c r="AB52" s="103"/>
      <c r="AC52" s="144">
        <f t="shared" ref="AC52" si="27">P52+Z52+AA52-AB52</f>
        <v>1903793</v>
      </c>
      <c r="AD52" s="213">
        <v>6523</v>
      </c>
      <c r="AE52" s="209">
        <v>1903793</v>
      </c>
      <c r="AF52" s="224">
        <f t="shared" ref="AF52" si="28">+AC52-AE52</f>
        <v>0</v>
      </c>
      <c r="AG52" s="263">
        <v>6223</v>
      </c>
      <c r="AH52" s="266">
        <v>44987</v>
      </c>
      <c r="AI52" s="268">
        <v>1903793</v>
      </c>
      <c r="AJ52" s="262">
        <f t="shared" ref="AJ52" si="29">+AC52-AI52</f>
        <v>0</v>
      </c>
      <c r="AK52" s="263" t="s">
        <v>538</v>
      </c>
      <c r="AL52" s="267" t="s">
        <v>539</v>
      </c>
      <c r="AM52" s="320">
        <v>1903793</v>
      </c>
      <c r="AN52" s="13" t="s">
        <v>441</v>
      </c>
    </row>
    <row r="53" spans="1:40" ht="165.75" customHeight="1" x14ac:dyDescent="0.2">
      <c r="A53" s="194" t="s">
        <v>122</v>
      </c>
      <c r="B53" s="70" t="s">
        <v>191</v>
      </c>
      <c r="C53" s="71" t="s">
        <v>341</v>
      </c>
      <c r="D53" s="30" t="s">
        <v>123</v>
      </c>
      <c r="E53" s="4" t="s">
        <v>222</v>
      </c>
      <c r="F53" s="7" t="s">
        <v>222</v>
      </c>
      <c r="G53" s="7" t="s">
        <v>224</v>
      </c>
      <c r="H53" s="44" t="s">
        <v>626</v>
      </c>
      <c r="I53" s="7">
        <v>82121901</v>
      </c>
      <c r="J53" s="7" t="s">
        <v>631</v>
      </c>
      <c r="K53" s="7" t="s">
        <v>631</v>
      </c>
      <c r="L53" s="7" t="s">
        <v>632</v>
      </c>
      <c r="M53" s="7" t="s">
        <v>443</v>
      </c>
      <c r="N53" s="100" t="s">
        <v>25</v>
      </c>
      <c r="O53" s="169" t="s">
        <v>330</v>
      </c>
      <c r="P53" s="196">
        <f>1898238*11.5</f>
        <v>21829737</v>
      </c>
      <c r="Q53" s="102">
        <v>0</v>
      </c>
      <c r="R53" s="102">
        <v>0</v>
      </c>
      <c r="S53" s="102" t="s">
        <v>331</v>
      </c>
      <c r="T53" s="102" t="s">
        <v>332</v>
      </c>
      <c r="U53" s="103" t="s">
        <v>572</v>
      </c>
      <c r="V53" s="103">
        <v>3846666</v>
      </c>
      <c r="W53" s="101" t="s">
        <v>190</v>
      </c>
      <c r="X53" s="7" t="s">
        <v>178</v>
      </c>
      <c r="Y53" s="44" t="s">
        <v>238</v>
      </c>
      <c r="Z53" s="103"/>
      <c r="AA53" s="144">
        <v>6089253</v>
      </c>
      <c r="AB53" s="307">
        <f>1269786+10376752</f>
        <v>11646538</v>
      </c>
      <c r="AC53" s="144">
        <f t="shared" si="1"/>
        <v>16272452</v>
      </c>
      <c r="AD53" s="210">
        <v>19223</v>
      </c>
      <c r="AE53" s="209">
        <v>15187622</v>
      </c>
      <c r="AF53" s="224">
        <f t="shared" si="2"/>
        <v>1084830</v>
      </c>
      <c r="AG53" s="263">
        <v>21623</v>
      </c>
      <c r="AH53" s="266">
        <v>45092</v>
      </c>
      <c r="AI53" s="268">
        <v>15187622</v>
      </c>
      <c r="AJ53" s="262">
        <f t="shared" si="3"/>
        <v>1084830</v>
      </c>
      <c r="AK53" s="263" t="s">
        <v>813</v>
      </c>
      <c r="AL53" s="263" t="s">
        <v>814</v>
      </c>
      <c r="AM53" s="305"/>
      <c r="AN53" s="368" t="s">
        <v>591</v>
      </c>
    </row>
    <row r="54" spans="1:40" ht="110.25" customHeight="1" x14ac:dyDescent="0.2">
      <c r="A54" s="194" t="s">
        <v>122</v>
      </c>
      <c r="B54" s="70" t="s">
        <v>191</v>
      </c>
      <c r="C54" s="71" t="s">
        <v>341</v>
      </c>
      <c r="D54" s="30" t="s">
        <v>123</v>
      </c>
      <c r="E54" s="4" t="s">
        <v>222</v>
      </c>
      <c r="F54" s="7" t="s">
        <v>222</v>
      </c>
      <c r="G54" s="7" t="s">
        <v>224</v>
      </c>
      <c r="H54" s="44" t="s">
        <v>234</v>
      </c>
      <c r="I54" s="7">
        <v>82121901</v>
      </c>
      <c r="J54" s="100">
        <v>1</v>
      </c>
      <c r="K54" s="100">
        <v>1</v>
      </c>
      <c r="L54" s="100" t="s">
        <v>422</v>
      </c>
      <c r="M54" s="44">
        <v>0</v>
      </c>
      <c r="N54" s="100" t="s">
        <v>25</v>
      </c>
      <c r="O54" s="169" t="s">
        <v>330</v>
      </c>
      <c r="P54" s="196">
        <v>32335183</v>
      </c>
      <c r="Q54" s="102">
        <v>0</v>
      </c>
      <c r="R54" s="102">
        <v>0</v>
      </c>
      <c r="S54" s="102" t="s">
        <v>331</v>
      </c>
      <c r="T54" s="102" t="s">
        <v>332</v>
      </c>
      <c r="U54" s="103" t="s">
        <v>572</v>
      </c>
      <c r="V54" s="103">
        <v>3846666</v>
      </c>
      <c r="W54" s="101" t="s">
        <v>190</v>
      </c>
      <c r="X54" s="7" t="s">
        <v>178</v>
      </c>
      <c r="Y54" s="44" t="s">
        <v>238</v>
      </c>
      <c r="Z54" s="103"/>
      <c r="AA54" s="103"/>
      <c r="AB54" s="103"/>
      <c r="AC54" s="144">
        <f t="shared" si="1"/>
        <v>32335183</v>
      </c>
      <c r="AD54" s="210" t="s">
        <v>615</v>
      </c>
      <c r="AE54" s="209">
        <f>11247019+21088164-93727</f>
        <v>32241456</v>
      </c>
      <c r="AF54" s="224">
        <f t="shared" si="2"/>
        <v>93727</v>
      </c>
      <c r="AG54" s="263" t="s">
        <v>665</v>
      </c>
      <c r="AH54" s="277" t="s">
        <v>666</v>
      </c>
      <c r="AI54" s="268">
        <f>11247019+20994437</f>
        <v>32241456</v>
      </c>
      <c r="AJ54" s="262">
        <f t="shared" si="3"/>
        <v>93727</v>
      </c>
      <c r="AK54" s="267" t="s">
        <v>667</v>
      </c>
      <c r="AL54" s="267" t="s">
        <v>446</v>
      </c>
      <c r="AM54" s="387">
        <f>1405877+2811755+2811755+2811755+1405877+1312152</f>
        <v>12559171</v>
      </c>
      <c r="AN54" s="12"/>
    </row>
    <row r="55" spans="1:40" ht="110.25" customHeight="1" x14ac:dyDescent="0.2">
      <c r="A55" s="194" t="s">
        <v>122</v>
      </c>
      <c r="B55" s="70" t="s">
        <v>191</v>
      </c>
      <c r="C55" s="71" t="s">
        <v>341</v>
      </c>
      <c r="D55" s="30" t="s">
        <v>123</v>
      </c>
      <c r="E55" s="4" t="s">
        <v>222</v>
      </c>
      <c r="F55" s="7" t="s">
        <v>222</v>
      </c>
      <c r="G55" s="7" t="s">
        <v>224</v>
      </c>
      <c r="H55" s="44" t="s">
        <v>628</v>
      </c>
      <c r="I55" s="7">
        <v>82121901</v>
      </c>
      <c r="J55" s="100">
        <v>6</v>
      </c>
      <c r="K55" s="100">
        <v>6</v>
      </c>
      <c r="L55" s="100">
        <v>7</v>
      </c>
      <c r="M55" s="44">
        <v>1</v>
      </c>
      <c r="N55" s="100" t="s">
        <v>25</v>
      </c>
      <c r="O55" s="169" t="s">
        <v>330</v>
      </c>
      <c r="P55" s="196">
        <v>0</v>
      </c>
      <c r="Q55" s="102">
        <v>0</v>
      </c>
      <c r="R55" s="102">
        <v>0</v>
      </c>
      <c r="S55" s="102" t="s">
        <v>331</v>
      </c>
      <c r="T55" s="102" t="s">
        <v>332</v>
      </c>
      <c r="U55" s="103" t="s">
        <v>572</v>
      </c>
      <c r="V55" s="103">
        <v>3846666</v>
      </c>
      <c r="W55" s="101" t="s">
        <v>190</v>
      </c>
      <c r="X55" s="7" t="s">
        <v>178</v>
      </c>
      <c r="Y55" s="44" t="s">
        <v>238</v>
      </c>
      <c r="Z55" s="307">
        <v>13326551</v>
      </c>
      <c r="AA55" s="103"/>
      <c r="AB55" s="103"/>
      <c r="AC55" s="144">
        <f t="shared" ref="AC55" si="30">P55+Z55+AA55-AB55</f>
        <v>13326551</v>
      </c>
      <c r="AD55" s="210">
        <v>17723</v>
      </c>
      <c r="AE55" s="209">
        <v>13326551</v>
      </c>
      <c r="AF55" s="224">
        <f t="shared" ref="AF55" si="31">+AC55-AE55</f>
        <v>0</v>
      </c>
      <c r="AG55" s="263">
        <v>18023</v>
      </c>
      <c r="AH55" s="266">
        <v>45078</v>
      </c>
      <c r="AI55" s="268">
        <v>13326551</v>
      </c>
      <c r="AJ55" s="262">
        <f t="shared" ref="AJ55" si="32">+AC55-AI55</f>
        <v>0</v>
      </c>
      <c r="AK55" s="263" t="s">
        <v>708</v>
      </c>
      <c r="AL55" s="267" t="s">
        <v>539</v>
      </c>
      <c r="AM55" s="389"/>
      <c r="AN55" s="13" t="s">
        <v>588</v>
      </c>
    </row>
    <row r="56" spans="1:40" ht="110.25" customHeight="1" x14ac:dyDescent="0.2">
      <c r="A56" s="194" t="s">
        <v>122</v>
      </c>
      <c r="B56" s="70" t="s">
        <v>191</v>
      </c>
      <c r="C56" s="71" t="s">
        <v>341</v>
      </c>
      <c r="D56" s="30" t="s">
        <v>123</v>
      </c>
      <c r="E56" s="4" t="s">
        <v>222</v>
      </c>
      <c r="F56" s="7" t="s">
        <v>222</v>
      </c>
      <c r="G56" s="7" t="s">
        <v>224</v>
      </c>
      <c r="H56" s="44" t="s">
        <v>480</v>
      </c>
      <c r="I56" s="44">
        <v>82121901</v>
      </c>
      <c r="J56" s="105">
        <v>1</v>
      </c>
      <c r="K56" s="105">
        <v>1</v>
      </c>
      <c r="L56" s="105">
        <v>6</v>
      </c>
      <c r="M56" s="44">
        <v>1</v>
      </c>
      <c r="N56" s="105" t="s">
        <v>25</v>
      </c>
      <c r="O56" s="169" t="s">
        <v>330</v>
      </c>
      <c r="P56" s="196">
        <f>2324636*6</f>
        <v>13947816</v>
      </c>
      <c r="Q56" s="102">
        <v>0</v>
      </c>
      <c r="R56" s="102">
        <v>0</v>
      </c>
      <c r="S56" s="102" t="s">
        <v>331</v>
      </c>
      <c r="T56" s="102" t="s">
        <v>332</v>
      </c>
      <c r="U56" s="103" t="s">
        <v>572</v>
      </c>
      <c r="V56" s="103">
        <v>3846666</v>
      </c>
      <c r="W56" s="101" t="s">
        <v>190</v>
      </c>
      <c r="X56" s="44" t="s">
        <v>178</v>
      </c>
      <c r="Y56" s="44" t="s">
        <v>238</v>
      </c>
      <c r="Z56" s="103"/>
      <c r="AA56" s="103"/>
      <c r="AB56" s="144">
        <v>13947816</v>
      </c>
      <c r="AC56" s="144">
        <f t="shared" si="1"/>
        <v>0</v>
      </c>
      <c r="AD56" s="247"/>
      <c r="AE56" s="244"/>
      <c r="AF56" s="242">
        <f t="shared" si="2"/>
        <v>0</v>
      </c>
      <c r="AG56" s="265"/>
      <c r="AH56" s="265"/>
      <c r="AI56" s="314"/>
      <c r="AJ56" s="258">
        <f t="shared" si="3"/>
        <v>0</v>
      </c>
      <c r="AK56" s="265"/>
      <c r="AL56" s="265"/>
      <c r="AM56" s="305"/>
      <c r="AN56" s="243" t="s">
        <v>481</v>
      </c>
    </row>
    <row r="57" spans="1:40" ht="110.25" customHeight="1" x14ac:dyDescent="0.2">
      <c r="A57" s="194" t="s">
        <v>122</v>
      </c>
      <c r="B57" s="70" t="s">
        <v>191</v>
      </c>
      <c r="C57" s="71" t="s">
        <v>341</v>
      </c>
      <c r="D57" s="30" t="s">
        <v>123</v>
      </c>
      <c r="E57" s="4" t="s">
        <v>222</v>
      </c>
      <c r="F57" s="7" t="s">
        <v>222</v>
      </c>
      <c r="G57" s="7" t="s">
        <v>224</v>
      </c>
      <c r="H57" s="44" t="s">
        <v>235</v>
      </c>
      <c r="I57" s="7">
        <v>82121901</v>
      </c>
      <c r="J57" s="100">
        <v>7</v>
      </c>
      <c r="K57" s="100">
        <v>8</v>
      </c>
      <c r="L57" s="100">
        <v>1</v>
      </c>
      <c r="M57" s="44">
        <v>1</v>
      </c>
      <c r="N57" s="100" t="s">
        <v>86</v>
      </c>
      <c r="O57" s="169" t="s">
        <v>330</v>
      </c>
      <c r="P57" s="196">
        <f>1622000*10</f>
        <v>16220000</v>
      </c>
      <c r="Q57" s="102">
        <v>0</v>
      </c>
      <c r="R57" s="102">
        <v>0</v>
      </c>
      <c r="S57" s="102" t="s">
        <v>331</v>
      </c>
      <c r="T57" s="102" t="s">
        <v>332</v>
      </c>
      <c r="U57" s="103" t="s">
        <v>572</v>
      </c>
      <c r="V57" s="103">
        <v>3846666</v>
      </c>
      <c r="W57" s="101" t="s">
        <v>190</v>
      </c>
      <c r="X57" s="7" t="s">
        <v>178</v>
      </c>
      <c r="Y57" s="44" t="s">
        <v>238</v>
      </c>
      <c r="Z57" s="103"/>
      <c r="AA57" s="307">
        <v>4153455</v>
      </c>
      <c r="AB57" s="103"/>
      <c r="AC57" s="144">
        <f t="shared" si="1"/>
        <v>20373455</v>
      </c>
      <c r="AD57" s="248"/>
      <c r="AE57" s="244"/>
      <c r="AF57" s="242">
        <f t="shared" si="2"/>
        <v>20373455</v>
      </c>
      <c r="AG57" s="265"/>
      <c r="AH57" s="265"/>
      <c r="AI57" s="314"/>
      <c r="AJ57" s="258">
        <f t="shared" si="3"/>
        <v>20373455</v>
      </c>
      <c r="AK57" s="265"/>
      <c r="AL57" s="265"/>
      <c r="AM57" s="305"/>
      <c r="AN57" s="243" t="s">
        <v>588</v>
      </c>
    </row>
    <row r="58" spans="1:40" ht="110.25" customHeight="1" x14ac:dyDescent="0.2">
      <c r="A58" s="194" t="s">
        <v>122</v>
      </c>
      <c r="B58" s="70" t="s">
        <v>191</v>
      </c>
      <c r="C58" s="71" t="s">
        <v>341</v>
      </c>
      <c r="D58" s="30" t="s">
        <v>123</v>
      </c>
      <c r="E58" s="4" t="s">
        <v>222</v>
      </c>
      <c r="F58" s="7" t="s">
        <v>222</v>
      </c>
      <c r="G58" s="7" t="s">
        <v>224</v>
      </c>
      <c r="H58" s="44" t="s">
        <v>236</v>
      </c>
      <c r="I58" s="7">
        <v>82121901</v>
      </c>
      <c r="J58" s="100">
        <v>7</v>
      </c>
      <c r="K58" s="100">
        <v>8</v>
      </c>
      <c r="L58" s="100">
        <v>1</v>
      </c>
      <c r="M58" s="44">
        <v>1</v>
      </c>
      <c r="N58" s="100" t="s">
        <v>86</v>
      </c>
      <c r="O58" s="169" t="s">
        <v>330</v>
      </c>
      <c r="P58" s="196">
        <v>1600000</v>
      </c>
      <c r="Q58" s="102">
        <v>0</v>
      </c>
      <c r="R58" s="102">
        <v>0</v>
      </c>
      <c r="S58" s="102" t="s">
        <v>331</v>
      </c>
      <c r="T58" s="102" t="s">
        <v>332</v>
      </c>
      <c r="U58" s="103" t="s">
        <v>572</v>
      </c>
      <c r="V58" s="103">
        <v>3846666</v>
      </c>
      <c r="W58" s="101" t="s">
        <v>190</v>
      </c>
      <c r="X58" s="7" t="s">
        <v>178</v>
      </c>
      <c r="Y58" s="44" t="s">
        <v>238</v>
      </c>
      <c r="Z58" s="103"/>
      <c r="AA58" s="307">
        <v>437345</v>
      </c>
      <c r="AB58" s="103"/>
      <c r="AC58" s="144">
        <f t="shared" si="1"/>
        <v>2037345</v>
      </c>
      <c r="AD58" s="247"/>
      <c r="AE58" s="244"/>
      <c r="AF58" s="242">
        <f t="shared" si="2"/>
        <v>2037345</v>
      </c>
      <c r="AG58" s="265"/>
      <c r="AH58" s="265"/>
      <c r="AI58" s="314"/>
      <c r="AJ58" s="258">
        <f t="shared" si="3"/>
        <v>2037345</v>
      </c>
      <c r="AK58" s="265"/>
      <c r="AL58" s="265"/>
      <c r="AM58" s="305"/>
      <c r="AN58" s="243" t="s">
        <v>588</v>
      </c>
    </row>
    <row r="59" spans="1:40" ht="110.25" customHeight="1" x14ac:dyDescent="0.2">
      <c r="A59" s="194" t="s">
        <v>122</v>
      </c>
      <c r="B59" s="70" t="s">
        <v>191</v>
      </c>
      <c r="C59" s="71" t="s">
        <v>341</v>
      </c>
      <c r="D59" s="30" t="s">
        <v>123</v>
      </c>
      <c r="E59" s="4" t="s">
        <v>222</v>
      </c>
      <c r="F59" s="7" t="s">
        <v>222</v>
      </c>
      <c r="G59" s="7" t="s">
        <v>224</v>
      </c>
      <c r="H59" s="7" t="s">
        <v>404</v>
      </c>
      <c r="I59" s="7">
        <v>80111600</v>
      </c>
      <c r="J59" s="7">
        <v>1</v>
      </c>
      <c r="K59" s="7">
        <v>1</v>
      </c>
      <c r="L59" s="7">
        <v>4</v>
      </c>
      <c r="M59" s="7">
        <v>1</v>
      </c>
      <c r="N59" s="7" t="s">
        <v>25</v>
      </c>
      <c r="O59" s="199" t="s">
        <v>330</v>
      </c>
      <c r="P59" s="198">
        <v>15826000</v>
      </c>
      <c r="Q59" s="7">
        <v>0</v>
      </c>
      <c r="R59" s="7">
        <v>0</v>
      </c>
      <c r="S59" s="7" t="s">
        <v>331</v>
      </c>
      <c r="T59" s="7" t="s">
        <v>332</v>
      </c>
      <c r="U59" s="103" t="s">
        <v>572</v>
      </c>
      <c r="V59" s="7">
        <v>3846666</v>
      </c>
      <c r="W59" s="101" t="s">
        <v>190</v>
      </c>
      <c r="X59" s="7" t="s">
        <v>524</v>
      </c>
      <c r="Y59" s="44" t="s">
        <v>189</v>
      </c>
      <c r="Z59" s="7"/>
      <c r="AA59" s="7"/>
      <c r="AB59" s="144">
        <v>10447091</v>
      </c>
      <c r="AC59" s="144">
        <f t="shared" si="1"/>
        <v>5378909</v>
      </c>
      <c r="AD59" s="249"/>
      <c r="AE59" s="244"/>
      <c r="AF59" s="242">
        <f t="shared" si="2"/>
        <v>5378909</v>
      </c>
      <c r="AG59" s="265"/>
      <c r="AH59" s="265"/>
      <c r="AI59" s="314"/>
      <c r="AJ59" s="258">
        <f t="shared" si="3"/>
        <v>5378909</v>
      </c>
      <c r="AK59" s="265"/>
      <c r="AL59" s="265"/>
      <c r="AM59" s="305"/>
      <c r="AN59" s="243" t="s">
        <v>588</v>
      </c>
    </row>
    <row r="60" spans="1:40" ht="212.25" customHeight="1" x14ac:dyDescent="0.2">
      <c r="A60" s="194" t="s">
        <v>122</v>
      </c>
      <c r="B60" s="70" t="s">
        <v>191</v>
      </c>
      <c r="C60" s="71" t="s">
        <v>341</v>
      </c>
      <c r="D60" s="30" t="s">
        <v>123</v>
      </c>
      <c r="E60" s="4" t="s">
        <v>222</v>
      </c>
      <c r="F60" s="7" t="s">
        <v>222</v>
      </c>
      <c r="G60" s="7" t="s">
        <v>224</v>
      </c>
      <c r="H60" s="44" t="s">
        <v>492</v>
      </c>
      <c r="I60" s="7" t="s">
        <v>237</v>
      </c>
      <c r="J60" s="7" t="s">
        <v>575</v>
      </c>
      <c r="K60" s="7" t="s">
        <v>575</v>
      </c>
      <c r="L60" s="7" t="s">
        <v>576</v>
      </c>
      <c r="M60" s="44">
        <v>0</v>
      </c>
      <c r="N60" s="7" t="s">
        <v>577</v>
      </c>
      <c r="O60" s="169" t="s">
        <v>330</v>
      </c>
      <c r="P60" s="196">
        <v>12000000</v>
      </c>
      <c r="Q60" s="102">
        <v>0</v>
      </c>
      <c r="R60" s="102">
        <v>0</v>
      </c>
      <c r="S60" s="102" t="s">
        <v>331</v>
      </c>
      <c r="T60" s="102" t="s">
        <v>332</v>
      </c>
      <c r="U60" s="103" t="s">
        <v>572</v>
      </c>
      <c r="V60" s="103">
        <v>3846666</v>
      </c>
      <c r="W60" s="101" t="s">
        <v>190</v>
      </c>
      <c r="X60" s="7" t="s">
        <v>203</v>
      </c>
      <c r="Y60" s="44" t="s">
        <v>238</v>
      </c>
      <c r="Z60" s="103"/>
      <c r="AA60" s="144">
        <v>244612</v>
      </c>
      <c r="AB60" s="307">
        <v>344612</v>
      </c>
      <c r="AC60" s="144">
        <f t="shared" si="1"/>
        <v>11900000</v>
      </c>
      <c r="AD60" s="210">
        <v>4923</v>
      </c>
      <c r="AE60" s="209">
        <f>12244612-344612</f>
        <v>11900000</v>
      </c>
      <c r="AF60" s="224">
        <f t="shared" si="2"/>
        <v>0</v>
      </c>
      <c r="AG60" s="263">
        <v>6623</v>
      </c>
      <c r="AH60" s="266">
        <v>44992</v>
      </c>
      <c r="AI60" s="268">
        <v>11900000</v>
      </c>
      <c r="AJ60" s="262">
        <f t="shared" si="3"/>
        <v>0</v>
      </c>
      <c r="AK60" s="263" t="s">
        <v>540</v>
      </c>
      <c r="AL60" s="263" t="s">
        <v>541</v>
      </c>
      <c r="AM60" s="321">
        <f>1081818+1081818+1081818</f>
        <v>3245454</v>
      </c>
      <c r="AN60" s="13" t="s">
        <v>441</v>
      </c>
    </row>
    <row r="61" spans="1:40" ht="110.25" customHeight="1" x14ac:dyDescent="0.2">
      <c r="A61" s="194" t="s">
        <v>122</v>
      </c>
      <c r="B61" s="70" t="s">
        <v>191</v>
      </c>
      <c r="C61" s="71" t="s">
        <v>341</v>
      </c>
      <c r="D61" s="30" t="s">
        <v>123</v>
      </c>
      <c r="E61" s="4" t="s">
        <v>222</v>
      </c>
      <c r="F61" s="7" t="s">
        <v>222</v>
      </c>
      <c r="G61" s="7" t="s">
        <v>224</v>
      </c>
      <c r="H61" s="44" t="s">
        <v>239</v>
      </c>
      <c r="I61" s="100">
        <v>14121904</v>
      </c>
      <c r="J61" s="100">
        <v>2</v>
      </c>
      <c r="K61" s="100">
        <v>3</v>
      </c>
      <c r="L61" s="100">
        <v>2</v>
      </c>
      <c r="M61" s="44">
        <v>1</v>
      </c>
      <c r="N61" s="100" t="s">
        <v>86</v>
      </c>
      <c r="O61" s="169" t="s">
        <v>330</v>
      </c>
      <c r="P61" s="196">
        <v>9104412</v>
      </c>
      <c r="Q61" s="102">
        <v>0</v>
      </c>
      <c r="R61" s="102">
        <v>0</v>
      </c>
      <c r="S61" s="102" t="s">
        <v>331</v>
      </c>
      <c r="T61" s="102" t="s">
        <v>332</v>
      </c>
      <c r="U61" s="103" t="s">
        <v>572</v>
      </c>
      <c r="V61" s="103">
        <v>3846666</v>
      </c>
      <c r="W61" s="101" t="s">
        <v>190</v>
      </c>
      <c r="X61" s="100" t="s">
        <v>27</v>
      </c>
      <c r="Y61" s="44" t="s">
        <v>238</v>
      </c>
      <c r="Z61" s="103"/>
      <c r="AA61" s="103"/>
      <c r="AB61" s="144">
        <f>6089253+3015159</f>
        <v>9104412</v>
      </c>
      <c r="AC61" s="144">
        <f t="shared" si="1"/>
        <v>0</v>
      </c>
      <c r="AD61" s="248"/>
      <c r="AE61" s="244"/>
      <c r="AF61" s="242">
        <f t="shared" si="2"/>
        <v>0</v>
      </c>
      <c r="AG61" s="265"/>
      <c r="AH61" s="265"/>
      <c r="AI61" s="314"/>
      <c r="AJ61" s="258">
        <f t="shared" si="3"/>
        <v>0</v>
      </c>
      <c r="AK61" s="265"/>
      <c r="AL61" s="265"/>
      <c r="AM61" s="305"/>
      <c r="AN61" s="243" t="s">
        <v>441</v>
      </c>
    </row>
    <row r="62" spans="1:40" ht="110.25" customHeight="1" x14ac:dyDescent="0.2">
      <c r="A62" s="194" t="s">
        <v>122</v>
      </c>
      <c r="B62" s="70" t="s">
        <v>191</v>
      </c>
      <c r="C62" s="71" t="s">
        <v>341</v>
      </c>
      <c r="D62" s="30" t="s">
        <v>123</v>
      </c>
      <c r="E62" s="4" t="s">
        <v>222</v>
      </c>
      <c r="F62" s="7" t="s">
        <v>222</v>
      </c>
      <c r="G62" s="7" t="s">
        <v>224</v>
      </c>
      <c r="H62" s="44" t="s">
        <v>239</v>
      </c>
      <c r="I62" s="100">
        <v>14121904</v>
      </c>
      <c r="J62" s="100">
        <v>3</v>
      </c>
      <c r="K62" s="100">
        <v>2</v>
      </c>
      <c r="L62" s="44">
        <v>1</v>
      </c>
      <c r="M62" s="44">
        <v>1</v>
      </c>
      <c r="N62" s="100" t="s">
        <v>86</v>
      </c>
      <c r="O62" s="169" t="s">
        <v>406</v>
      </c>
      <c r="P62" s="196">
        <v>106049630</v>
      </c>
      <c r="Q62" s="102">
        <v>0</v>
      </c>
      <c r="R62" s="102">
        <v>0</v>
      </c>
      <c r="S62" s="102" t="s">
        <v>331</v>
      </c>
      <c r="T62" s="102" t="s">
        <v>332</v>
      </c>
      <c r="U62" s="103" t="s">
        <v>572</v>
      </c>
      <c r="V62" s="103">
        <v>3846666</v>
      </c>
      <c r="W62" s="101" t="s">
        <v>190</v>
      </c>
      <c r="X62" s="100" t="s">
        <v>27</v>
      </c>
      <c r="Y62" s="44" t="s">
        <v>238</v>
      </c>
      <c r="Z62" s="103"/>
      <c r="AA62" s="103"/>
      <c r="AB62" s="103"/>
      <c r="AC62" s="144">
        <f t="shared" ref="AC62" si="33">P62+Z62+AA62-AB62</f>
        <v>106049630</v>
      </c>
      <c r="AD62" s="210">
        <v>19423</v>
      </c>
      <c r="AE62" s="209">
        <v>106049630</v>
      </c>
      <c r="AF62" s="224">
        <f t="shared" si="2"/>
        <v>0</v>
      </c>
      <c r="AG62" s="265"/>
      <c r="AH62" s="265"/>
      <c r="AI62" s="314"/>
      <c r="AJ62" s="258">
        <f t="shared" si="3"/>
        <v>106049630</v>
      </c>
      <c r="AK62" s="265"/>
      <c r="AL62" s="265"/>
      <c r="AM62" s="305"/>
      <c r="AN62" s="245"/>
    </row>
    <row r="63" spans="1:40" ht="110.25" customHeight="1" x14ac:dyDescent="0.2">
      <c r="A63" s="194" t="s">
        <v>122</v>
      </c>
      <c r="B63" s="70" t="s">
        <v>191</v>
      </c>
      <c r="C63" s="71" t="s">
        <v>341</v>
      </c>
      <c r="D63" s="30" t="s">
        <v>123</v>
      </c>
      <c r="E63" s="4" t="s">
        <v>222</v>
      </c>
      <c r="F63" s="7" t="s">
        <v>222</v>
      </c>
      <c r="G63" s="7" t="s">
        <v>224</v>
      </c>
      <c r="H63" s="44" t="s">
        <v>239</v>
      </c>
      <c r="I63" s="100">
        <v>14121904</v>
      </c>
      <c r="J63" s="100">
        <v>3</v>
      </c>
      <c r="K63" s="100">
        <v>2</v>
      </c>
      <c r="L63" s="44">
        <v>1</v>
      </c>
      <c r="M63" s="44">
        <v>1</v>
      </c>
      <c r="N63" s="100" t="s">
        <v>86</v>
      </c>
      <c r="O63" s="169" t="s">
        <v>405</v>
      </c>
      <c r="P63" s="196">
        <v>13716646</v>
      </c>
      <c r="Q63" s="102">
        <v>0</v>
      </c>
      <c r="R63" s="102">
        <v>0</v>
      </c>
      <c r="S63" s="102" t="s">
        <v>331</v>
      </c>
      <c r="T63" s="102" t="s">
        <v>332</v>
      </c>
      <c r="U63" s="103" t="s">
        <v>572</v>
      </c>
      <c r="V63" s="103">
        <v>3846666</v>
      </c>
      <c r="W63" s="101" t="s">
        <v>190</v>
      </c>
      <c r="X63" s="100" t="s">
        <v>27</v>
      </c>
      <c r="Y63" s="44" t="s">
        <v>238</v>
      </c>
      <c r="Z63" s="103"/>
      <c r="AA63" s="103"/>
      <c r="AB63" s="103"/>
      <c r="AC63" s="144">
        <f t="shared" si="1"/>
        <v>13716646</v>
      </c>
      <c r="AD63" s="210">
        <v>19423</v>
      </c>
      <c r="AE63" s="209">
        <v>13716646</v>
      </c>
      <c r="AF63" s="224">
        <f t="shared" si="2"/>
        <v>0</v>
      </c>
      <c r="AG63" s="265"/>
      <c r="AH63" s="265"/>
      <c r="AI63" s="314"/>
      <c r="AJ63" s="258">
        <f t="shared" si="3"/>
        <v>13716646</v>
      </c>
      <c r="AK63" s="265"/>
      <c r="AL63" s="265"/>
      <c r="AM63" s="305"/>
      <c r="AN63" s="245"/>
    </row>
    <row r="64" spans="1:40" ht="110.25" customHeight="1" x14ac:dyDescent="0.2">
      <c r="A64" s="194" t="s">
        <v>122</v>
      </c>
      <c r="B64" s="70" t="s">
        <v>191</v>
      </c>
      <c r="C64" s="71" t="s">
        <v>341</v>
      </c>
      <c r="D64" s="30" t="s">
        <v>123</v>
      </c>
      <c r="E64" s="4" t="s">
        <v>222</v>
      </c>
      <c r="F64" s="7" t="s">
        <v>222</v>
      </c>
      <c r="G64" s="7" t="s">
        <v>224</v>
      </c>
      <c r="H64" s="44" t="s">
        <v>240</v>
      </c>
      <c r="I64" s="7">
        <v>55121734</v>
      </c>
      <c r="J64" s="40" t="s">
        <v>633</v>
      </c>
      <c r="K64" s="40" t="s">
        <v>633</v>
      </c>
      <c r="L64" s="40" t="s">
        <v>634</v>
      </c>
      <c r="M64" s="44">
        <v>1</v>
      </c>
      <c r="N64" s="7" t="s">
        <v>578</v>
      </c>
      <c r="O64" s="169" t="s">
        <v>330</v>
      </c>
      <c r="P64" s="196">
        <v>25000000</v>
      </c>
      <c r="Q64" s="102">
        <v>0</v>
      </c>
      <c r="R64" s="102">
        <v>0</v>
      </c>
      <c r="S64" s="102" t="s">
        <v>331</v>
      </c>
      <c r="T64" s="102" t="s">
        <v>332</v>
      </c>
      <c r="U64" s="103" t="s">
        <v>572</v>
      </c>
      <c r="V64" s="103">
        <v>3846666</v>
      </c>
      <c r="W64" s="101" t="s">
        <v>190</v>
      </c>
      <c r="X64" s="100" t="s">
        <v>27</v>
      </c>
      <c r="Y64" s="44" t="s">
        <v>238</v>
      </c>
      <c r="Z64" s="103"/>
      <c r="AA64" s="307">
        <v>7905912</v>
      </c>
      <c r="AB64" s="307">
        <v>6511300</v>
      </c>
      <c r="AC64" s="144">
        <f t="shared" si="1"/>
        <v>26394612</v>
      </c>
      <c r="AD64" s="247"/>
      <c r="AE64" s="244"/>
      <c r="AF64" s="242">
        <f t="shared" si="2"/>
        <v>26394612</v>
      </c>
      <c r="AG64" s="265"/>
      <c r="AH64" s="265"/>
      <c r="AI64" s="314"/>
      <c r="AJ64" s="258">
        <f t="shared" si="3"/>
        <v>26394612</v>
      </c>
      <c r="AK64" s="265"/>
      <c r="AL64" s="265"/>
      <c r="AM64" s="305"/>
      <c r="AN64" s="368" t="s">
        <v>591</v>
      </c>
    </row>
    <row r="65" spans="1:40" ht="165" customHeight="1" x14ac:dyDescent="0.2">
      <c r="A65" s="194" t="s">
        <v>122</v>
      </c>
      <c r="B65" s="70" t="s">
        <v>191</v>
      </c>
      <c r="C65" s="71" t="s">
        <v>341</v>
      </c>
      <c r="D65" s="30" t="s">
        <v>123</v>
      </c>
      <c r="E65" s="4" t="s">
        <v>222</v>
      </c>
      <c r="F65" s="7" t="s">
        <v>222</v>
      </c>
      <c r="G65" s="7" t="s">
        <v>224</v>
      </c>
      <c r="H65" s="44" t="s">
        <v>241</v>
      </c>
      <c r="I65" s="7" t="s">
        <v>242</v>
      </c>
      <c r="J65" s="100">
        <v>1</v>
      </c>
      <c r="K65" s="100">
        <v>1</v>
      </c>
      <c r="L65" s="100">
        <v>11</v>
      </c>
      <c r="M65" s="44">
        <v>1</v>
      </c>
      <c r="N65" s="100" t="s">
        <v>181</v>
      </c>
      <c r="O65" s="169" t="s">
        <v>330</v>
      </c>
      <c r="P65" s="196">
        <v>1000000</v>
      </c>
      <c r="Q65" s="102">
        <v>0</v>
      </c>
      <c r="R65" s="102">
        <v>0</v>
      </c>
      <c r="S65" s="102" t="s">
        <v>331</v>
      </c>
      <c r="T65" s="102" t="s">
        <v>332</v>
      </c>
      <c r="U65" s="103" t="s">
        <v>572</v>
      </c>
      <c r="V65" s="103">
        <v>3846666</v>
      </c>
      <c r="W65" s="101" t="s">
        <v>190</v>
      </c>
      <c r="X65" s="104" t="s">
        <v>26</v>
      </c>
      <c r="Y65" s="44" t="s">
        <v>238</v>
      </c>
      <c r="Z65" s="103"/>
      <c r="AA65" s="103"/>
      <c r="AB65" s="103"/>
      <c r="AC65" s="144">
        <f t="shared" si="1"/>
        <v>1000000</v>
      </c>
      <c r="AD65" s="247"/>
      <c r="AE65" s="244"/>
      <c r="AF65" s="242">
        <f t="shared" si="2"/>
        <v>1000000</v>
      </c>
      <c r="AG65" s="265"/>
      <c r="AH65" s="265"/>
      <c r="AI65" s="314"/>
      <c r="AJ65" s="258">
        <f t="shared" si="3"/>
        <v>1000000</v>
      </c>
      <c r="AK65" s="265"/>
      <c r="AL65" s="265"/>
      <c r="AM65" s="305"/>
      <c r="AN65" s="245"/>
    </row>
    <row r="66" spans="1:40" ht="152.25" customHeight="1" x14ac:dyDescent="0.2">
      <c r="A66" s="194" t="s">
        <v>122</v>
      </c>
      <c r="B66" s="70" t="s">
        <v>191</v>
      </c>
      <c r="C66" s="71" t="s">
        <v>341</v>
      </c>
      <c r="D66" s="30" t="s">
        <v>123</v>
      </c>
      <c r="E66" s="4" t="s">
        <v>222</v>
      </c>
      <c r="F66" s="7" t="s">
        <v>222</v>
      </c>
      <c r="G66" s="7" t="s">
        <v>224</v>
      </c>
      <c r="H66" s="44" t="s">
        <v>243</v>
      </c>
      <c r="I66" s="7">
        <v>82121801</v>
      </c>
      <c r="J66" s="100">
        <v>1</v>
      </c>
      <c r="K66" s="100">
        <v>1</v>
      </c>
      <c r="L66" s="100">
        <v>11</v>
      </c>
      <c r="M66" s="44">
        <v>1</v>
      </c>
      <c r="N66" s="100" t="s">
        <v>25</v>
      </c>
      <c r="O66" s="169" t="s">
        <v>330</v>
      </c>
      <c r="P66" s="196">
        <v>1500000</v>
      </c>
      <c r="Q66" s="102">
        <v>0</v>
      </c>
      <c r="R66" s="102">
        <v>0</v>
      </c>
      <c r="S66" s="102" t="s">
        <v>331</v>
      </c>
      <c r="T66" s="102" t="s">
        <v>332</v>
      </c>
      <c r="U66" s="103" t="s">
        <v>572</v>
      </c>
      <c r="V66" s="103">
        <v>3846666</v>
      </c>
      <c r="W66" s="101" t="s">
        <v>190</v>
      </c>
      <c r="X66" s="104" t="s">
        <v>26</v>
      </c>
      <c r="Y66" s="44" t="s">
        <v>563</v>
      </c>
      <c r="Z66" s="103"/>
      <c r="AA66" s="103"/>
      <c r="AB66" s="103"/>
      <c r="AC66" s="144">
        <f t="shared" si="1"/>
        <v>1500000</v>
      </c>
      <c r="AD66" s="375">
        <v>14323</v>
      </c>
      <c r="AE66" s="209">
        <v>1500000</v>
      </c>
      <c r="AF66" s="224">
        <f t="shared" si="2"/>
        <v>0</v>
      </c>
      <c r="AG66" s="263">
        <v>21223</v>
      </c>
      <c r="AH66" s="266">
        <v>45092</v>
      </c>
      <c r="AI66" s="268">
        <v>1500000</v>
      </c>
      <c r="AJ66" s="262">
        <f t="shared" si="3"/>
        <v>0</v>
      </c>
      <c r="AK66" s="263" t="s">
        <v>811</v>
      </c>
      <c r="AL66" s="263" t="s">
        <v>812</v>
      </c>
      <c r="AM66" s="305"/>
      <c r="AN66" s="245"/>
    </row>
    <row r="67" spans="1:40" ht="120" customHeight="1" x14ac:dyDescent="0.2">
      <c r="A67" s="194" t="s">
        <v>122</v>
      </c>
      <c r="B67" s="70" t="s">
        <v>191</v>
      </c>
      <c r="C67" s="71" t="s">
        <v>341</v>
      </c>
      <c r="D67" s="30" t="s">
        <v>123</v>
      </c>
      <c r="E67" s="4" t="s">
        <v>426</v>
      </c>
      <c r="F67" s="4" t="s">
        <v>426</v>
      </c>
      <c r="G67" s="19" t="s">
        <v>313</v>
      </c>
      <c r="H67" s="19" t="s">
        <v>458</v>
      </c>
      <c r="I67" s="19">
        <v>80111600</v>
      </c>
      <c r="J67" s="19">
        <v>1</v>
      </c>
      <c r="K67" s="19">
        <v>1</v>
      </c>
      <c r="L67" s="19">
        <v>11</v>
      </c>
      <c r="M67" s="19">
        <v>1</v>
      </c>
      <c r="N67" s="19" t="s">
        <v>25</v>
      </c>
      <c r="O67" s="169" t="s">
        <v>330</v>
      </c>
      <c r="P67" s="196">
        <f>2224268*11</f>
        <v>24466948</v>
      </c>
      <c r="Q67" s="41">
        <v>0</v>
      </c>
      <c r="R67" s="41">
        <v>0</v>
      </c>
      <c r="S67" s="41" t="s">
        <v>331</v>
      </c>
      <c r="T67" s="41" t="s">
        <v>332</v>
      </c>
      <c r="U67" s="25" t="s">
        <v>572</v>
      </c>
      <c r="V67" s="25">
        <v>3846666</v>
      </c>
      <c r="W67" s="28" t="s">
        <v>190</v>
      </c>
      <c r="X67" s="19" t="s">
        <v>178</v>
      </c>
      <c r="Y67" s="19" t="s">
        <v>189</v>
      </c>
      <c r="Z67" s="25"/>
      <c r="AA67" s="25"/>
      <c r="AB67" s="25"/>
      <c r="AC67" s="150">
        <f t="shared" si="1"/>
        <v>24466948</v>
      </c>
      <c r="AD67" s="207" t="s">
        <v>623</v>
      </c>
      <c r="AE67" s="227">
        <f>8897072+15569876</f>
        <v>24466948</v>
      </c>
      <c r="AF67" s="224">
        <f t="shared" si="2"/>
        <v>0</v>
      </c>
      <c r="AG67" s="263" t="s">
        <v>712</v>
      </c>
      <c r="AH67" s="277" t="s">
        <v>713</v>
      </c>
      <c r="AI67" s="268">
        <f>8897072+15569876</f>
        <v>24466948</v>
      </c>
      <c r="AJ67" s="262">
        <f t="shared" si="3"/>
        <v>0</v>
      </c>
      <c r="AK67" s="267" t="s">
        <v>714</v>
      </c>
      <c r="AL67" s="267" t="s">
        <v>471</v>
      </c>
      <c r="AM67" s="385">
        <f>2224268+2224268+2224268+2224268</f>
        <v>8897072</v>
      </c>
      <c r="AN67" s="13" t="s">
        <v>441</v>
      </c>
    </row>
    <row r="68" spans="1:40" ht="110.25" customHeight="1" x14ac:dyDescent="0.2">
      <c r="A68" s="194" t="s">
        <v>122</v>
      </c>
      <c r="B68" s="70" t="s">
        <v>191</v>
      </c>
      <c r="C68" s="71" t="s">
        <v>341</v>
      </c>
      <c r="D68" s="30" t="s">
        <v>123</v>
      </c>
      <c r="E68" s="4" t="s">
        <v>426</v>
      </c>
      <c r="F68" s="4" t="s">
        <v>426</v>
      </c>
      <c r="G68" s="19" t="s">
        <v>313</v>
      </c>
      <c r="H68" s="19" t="s">
        <v>458</v>
      </c>
      <c r="I68" s="19">
        <v>80111600</v>
      </c>
      <c r="J68" s="19">
        <v>1</v>
      </c>
      <c r="K68" s="19">
        <v>1</v>
      </c>
      <c r="L68" s="19">
        <v>11</v>
      </c>
      <c r="M68" s="19">
        <v>1</v>
      </c>
      <c r="N68" s="19" t="s">
        <v>25</v>
      </c>
      <c r="O68" s="169" t="s">
        <v>330</v>
      </c>
      <c r="P68" s="196">
        <f>2224268*11</f>
        <v>24466948</v>
      </c>
      <c r="Q68" s="41">
        <v>0</v>
      </c>
      <c r="R68" s="41">
        <v>0</v>
      </c>
      <c r="S68" s="41" t="s">
        <v>331</v>
      </c>
      <c r="T68" s="41" t="s">
        <v>332</v>
      </c>
      <c r="U68" s="25" t="s">
        <v>572</v>
      </c>
      <c r="V68" s="25">
        <v>3846666</v>
      </c>
      <c r="W68" s="28" t="s">
        <v>190</v>
      </c>
      <c r="X68" s="19" t="s">
        <v>178</v>
      </c>
      <c r="Y68" s="19" t="s">
        <v>189</v>
      </c>
      <c r="Z68" s="25"/>
      <c r="AA68" s="25"/>
      <c r="AB68" s="25"/>
      <c r="AC68" s="150">
        <f t="shared" si="1"/>
        <v>24466948</v>
      </c>
      <c r="AD68" s="207" t="s">
        <v>624</v>
      </c>
      <c r="AE68" s="227">
        <f>8897072+15569876</f>
        <v>24466948</v>
      </c>
      <c r="AF68" s="224">
        <f t="shared" si="2"/>
        <v>0</v>
      </c>
      <c r="AG68" s="263" t="s">
        <v>715</v>
      </c>
      <c r="AH68" s="277" t="s">
        <v>716</v>
      </c>
      <c r="AI68" s="268">
        <f>8897072+15569876</f>
        <v>24466948</v>
      </c>
      <c r="AJ68" s="262">
        <f t="shared" si="3"/>
        <v>0</v>
      </c>
      <c r="AK68" s="267" t="s">
        <v>717</v>
      </c>
      <c r="AL68" s="267" t="s">
        <v>476</v>
      </c>
      <c r="AM68" s="385">
        <f>2224268+2224268+2224268+2224268</f>
        <v>8897072</v>
      </c>
      <c r="AN68" s="318" t="s">
        <v>441</v>
      </c>
    </row>
    <row r="69" spans="1:40" ht="156.75" customHeight="1" x14ac:dyDescent="0.2">
      <c r="A69" s="194" t="s">
        <v>122</v>
      </c>
      <c r="B69" s="70" t="s">
        <v>191</v>
      </c>
      <c r="C69" s="71" t="s">
        <v>341</v>
      </c>
      <c r="D69" s="30" t="s">
        <v>123</v>
      </c>
      <c r="E69" s="4" t="s">
        <v>426</v>
      </c>
      <c r="F69" s="4" t="s">
        <v>426</v>
      </c>
      <c r="G69" s="19" t="s">
        <v>313</v>
      </c>
      <c r="H69" s="24" t="s">
        <v>496</v>
      </c>
      <c r="I69" s="24">
        <v>80111600</v>
      </c>
      <c r="J69" s="24" t="s">
        <v>483</v>
      </c>
      <c r="K69" s="24" t="s">
        <v>483</v>
      </c>
      <c r="L69" s="24">
        <v>6</v>
      </c>
      <c r="M69" s="24">
        <v>1</v>
      </c>
      <c r="N69" s="24" t="s">
        <v>25</v>
      </c>
      <c r="O69" s="169" t="s">
        <v>330</v>
      </c>
      <c r="P69" s="197">
        <f>3814143*6</f>
        <v>22884858</v>
      </c>
      <c r="Q69" s="41">
        <v>0</v>
      </c>
      <c r="R69" s="41">
        <v>0</v>
      </c>
      <c r="S69" s="41" t="s">
        <v>331</v>
      </c>
      <c r="T69" s="41" t="s">
        <v>332</v>
      </c>
      <c r="U69" s="25" t="s">
        <v>572</v>
      </c>
      <c r="V69" s="24">
        <v>3846666</v>
      </c>
      <c r="W69" s="28" t="s">
        <v>276</v>
      </c>
      <c r="X69" s="24" t="s">
        <v>524</v>
      </c>
      <c r="Y69" s="19" t="s">
        <v>275</v>
      </c>
      <c r="Z69" s="45"/>
      <c r="AA69" s="45"/>
      <c r="AB69" s="45"/>
      <c r="AC69" s="150">
        <f t="shared" si="1"/>
        <v>22884858</v>
      </c>
      <c r="AD69" s="207">
        <v>6323</v>
      </c>
      <c r="AE69" s="224">
        <f>12586675-254276</f>
        <v>12332399</v>
      </c>
      <c r="AF69" s="224">
        <f t="shared" si="2"/>
        <v>10552459</v>
      </c>
      <c r="AG69" s="263">
        <v>5623</v>
      </c>
      <c r="AH69" s="266">
        <v>44981</v>
      </c>
      <c r="AI69" s="268">
        <v>12332399</v>
      </c>
      <c r="AJ69" s="262">
        <f t="shared" si="3"/>
        <v>10552459</v>
      </c>
      <c r="AK69" s="263" t="s">
        <v>517</v>
      </c>
      <c r="AL69" s="263" t="s">
        <v>516</v>
      </c>
      <c r="AM69" s="319">
        <f>889967+3814144+3814144+3814144</f>
        <v>12332399</v>
      </c>
      <c r="AN69" s="13" t="s">
        <v>441</v>
      </c>
    </row>
    <row r="70" spans="1:40" ht="110.25" customHeight="1" x14ac:dyDescent="0.2">
      <c r="A70" s="194" t="s">
        <v>122</v>
      </c>
      <c r="B70" s="70" t="s">
        <v>191</v>
      </c>
      <c r="C70" s="71" t="s">
        <v>341</v>
      </c>
      <c r="D70" s="30" t="s">
        <v>123</v>
      </c>
      <c r="E70" s="4" t="s">
        <v>426</v>
      </c>
      <c r="F70" s="4" t="s">
        <v>426</v>
      </c>
      <c r="G70" s="19" t="s">
        <v>313</v>
      </c>
      <c r="H70" s="24" t="s">
        <v>279</v>
      </c>
      <c r="I70" s="19">
        <v>80111600</v>
      </c>
      <c r="J70" s="19">
        <v>1</v>
      </c>
      <c r="K70" s="19">
        <v>1</v>
      </c>
      <c r="L70" s="19">
        <v>11</v>
      </c>
      <c r="M70" s="19">
        <v>1</v>
      </c>
      <c r="N70" s="19" t="s">
        <v>25</v>
      </c>
      <c r="O70" s="169" t="s">
        <v>330</v>
      </c>
      <c r="P70" s="196">
        <f>3318115*11</f>
        <v>36499265</v>
      </c>
      <c r="Q70" s="41">
        <v>0</v>
      </c>
      <c r="R70" s="41">
        <v>0</v>
      </c>
      <c r="S70" s="41" t="s">
        <v>331</v>
      </c>
      <c r="T70" s="41" t="s">
        <v>332</v>
      </c>
      <c r="U70" s="25" t="s">
        <v>572</v>
      </c>
      <c r="V70" s="25">
        <v>3846666</v>
      </c>
      <c r="W70" s="28" t="s">
        <v>190</v>
      </c>
      <c r="X70" s="24" t="s">
        <v>524</v>
      </c>
      <c r="Y70" s="19" t="s">
        <v>189</v>
      </c>
      <c r="Z70" s="25"/>
      <c r="AA70" s="25"/>
      <c r="AB70" s="373">
        <f>26544928+5187267</f>
        <v>31732195</v>
      </c>
      <c r="AC70" s="150">
        <f t="shared" si="1"/>
        <v>4767070</v>
      </c>
      <c r="AD70" s="243"/>
      <c r="AE70" s="250"/>
      <c r="AF70" s="242">
        <f t="shared" si="2"/>
        <v>4767070</v>
      </c>
      <c r="AG70" s="265"/>
      <c r="AH70" s="265"/>
      <c r="AI70" s="314"/>
      <c r="AJ70" s="258">
        <f t="shared" si="3"/>
        <v>4767070</v>
      </c>
      <c r="AK70" s="265"/>
      <c r="AL70" s="265"/>
      <c r="AM70" s="305"/>
      <c r="AN70" s="368" t="s">
        <v>591</v>
      </c>
    </row>
    <row r="71" spans="1:40" ht="110.25" customHeight="1" x14ac:dyDescent="0.2">
      <c r="A71" s="194" t="s">
        <v>122</v>
      </c>
      <c r="B71" s="70" t="s">
        <v>191</v>
      </c>
      <c r="C71" s="71" t="s">
        <v>341</v>
      </c>
      <c r="D71" s="30" t="s">
        <v>123</v>
      </c>
      <c r="E71" s="4" t="s">
        <v>426</v>
      </c>
      <c r="F71" s="4" t="s">
        <v>426</v>
      </c>
      <c r="G71" s="19" t="s">
        <v>313</v>
      </c>
      <c r="H71" s="24" t="s">
        <v>571</v>
      </c>
      <c r="I71" s="19">
        <v>80111600</v>
      </c>
      <c r="J71" s="19">
        <v>4</v>
      </c>
      <c r="K71" s="19">
        <v>4</v>
      </c>
      <c r="L71" s="19">
        <v>8</v>
      </c>
      <c r="M71" s="19">
        <v>1</v>
      </c>
      <c r="N71" s="19" t="s">
        <v>25</v>
      </c>
      <c r="O71" s="169" t="s">
        <v>330</v>
      </c>
      <c r="P71" s="196">
        <v>0</v>
      </c>
      <c r="Q71" s="41">
        <v>0</v>
      </c>
      <c r="R71" s="41">
        <v>0</v>
      </c>
      <c r="S71" s="41" t="s">
        <v>331</v>
      </c>
      <c r="T71" s="41" t="s">
        <v>332</v>
      </c>
      <c r="U71" s="25" t="s">
        <v>572</v>
      </c>
      <c r="V71" s="25">
        <v>3846666</v>
      </c>
      <c r="W71" s="28" t="s">
        <v>190</v>
      </c>
      <c r="X71" s="24" t="s">
        <v>524</v>
      </c>
      <c r="Y71" s="19" t="s">
        <v>572</v>
      </c>
      <c r="Z71" s="149">
        <v>26544928</v>
      </c>
      <c r="AA71" s="25"/>
      <c r="AB71" s="25"/>
      <c r="AC71" s="150">
        <f t="shared" ref="AC71" si="34">P71+Z71+AA71-AB71</f>
        <v>26544928</v>
      </c>
      <c r="AD71" s="233">
        <v>11023</v>
      </c>
      <c r="AE71" s="234">
        <v>26544928</v>
      </c>
      <c r="AF71" s="230">
        <f t="shared" ref="AF71" si="35">+AC71-AE71</f>
        <v>0</v>
      </c>
      <c r="AG71" s="263">
        <v>13223</v>
      </c>
      <c r="AH71" s="266">
        <v>45041</v>
      </c>
      <c r="AI71" s="268">
        <v>26544928</v>
      </c>
      <c r="AJ71" s="262">
        <f t="shared" ref="AJ71" si="36">+AC71-AI71</f>
        <v>0</v>
      </c>
      <c r="AK71" s="263" t="s">
        <v>582</v>
      </c>
      <c r="AL71" s="263" t="s">
        <v>583</v>
      </c>
      <c r="AM71" s="384">
        <f>663623+3318116</f>
        <v>3981739</v>
      </c>
      <c r="AN71" s="13" t="s">
        <v>441</v>
      </c>
    </row>
    <row r="72" spans="1:40" ht="110.25" customHeight="1" x14ac:dyDescent="0.2">
      <c r="A72" s="194" t="s">
        <v>122</v>
      </c>
      <c r="B72" s="70" t="s">
        <v>191</v>
      </c>
      <c r="C72" s="71" t="s">
        <v>341</v>
      </c>
      <c r="D72" s="30" t="s">
        <v>123</v>
      </c>
      <c r="E72" s="4" t="s">
        <v>426</v>
      </c>
      <c r="F72" s="4" t="s">
        <v>426</v>
      </c>
      <c r="G72" s="19" t="s">
        <v>313</v>
      </c>
      <c r="H72" s="19" t="s">
        <v>428</v>
      </c>
      <c r="I72" s="19">
        <v>80111600</v>
      </c>
      <c r="J72" s="19">
        <v>1</v>
      </c>
      <c r="K72" s="19">
        <v>1</v>
      </c>
      <c r="L72" s="19">
        <v>9</v>
      </c>
      <c r="M72" s="19">
        <v>1</v>
      </c>
      <c r="N72" s="19" t="s">
        <v>25</v>
      </c>
      <c r="O72" s="199" t="s">
        <v>330</v>
      </c>
      <c r="P72" s="200">
        <f>3318115*9</f>
        <v>29863035</v>
      </c>
      <c r="Q72" s="41">
        <v>0</v>
      </c>
      <c r="R72" s="41">
        <v>0</v>
      </c>
      <c r="S72" s="41" t="s">
        <v>331</v>
      </c>
      <c r="T72" s="41" t="s">
        <v>332</v>
      </c>
      <c r="U72" s="25" t="s">
        <v>572</v>
      </c>
      <c r="V72" s="24">
        <v>3846666</v>
      </c>
      <c r="W72" s="28" t="s">
        <v>190</v>
      </c>
      <c r="X72" s="24" t="s">
        <v>524</v>
      </c>
      <c r="Y72" s="19" t="s">
        <v>189</v>
      </c>
      <c r="Z72" s="27"/>
      <c r="AA72" s="106"/>
      <c r="AB72" s="106"/>
      <c r="AC72" s="150">
        <f t="shared" si="1"/>
        <v>29863035</v>
      </c>
      <c r="AD72" s="233">
        <v>6923</v>
      </c>
      <c r="AE72" s="234">
        <v>9401000</v>
      </c>
      <c r="AF72" s="230">
        <f t="shared" si="2"/>
        <v>20462035</v>
      </c>
      <c r="AG72" s="263">
        <v>6723</v>
      </c>
      <c r="AH72" s="266">
        <v>44992</v>
      </c>
      <c r="AI72" s="268">
        <v>9401000</v>
      </c>
      <c r="AJ72" s="262">
        <f t="shared" si="3"/>
        <v>20462035</v>
      </c>
      <c r="AK72" s="263" t="s">
        <v>542</v>
      </c>
      <c r="AL72" s="263" t="s">
        <v>543</v>
      </c>
      <c r="AM72" s="319">
        <f>2765000+3318000+3318000</f>
        <v>9401000</v>
      </c>
      <c r="AN72" s="12"/>
    </row>
    <row r="73" spans="1:40" ht="110.25" customHeight="1" x14ac:dyDescent="0.2">
      <c r="A73" s="194" t="s">
        <v>122</v>
      </c>
      <c r="B73" s="70" t="s">
        <v>191</v>
      </c>
      <c r="C73" s="71" t="s">
        <v>341</v>
      </c>
      <c r="D73" s="30" t="s">
        <v>123</v>
      </c>
      <c r="E73" s="4" t="s">
        <v>426</v>
      </c>
      <c r="F73" s="4" t="s">
        <v>426</v>
      </c>
      <c r="G73" s="19" t="s">
        <v>313</v>
      </c>
      <c r="H73" s="24" t="s">
        <v>280</v>
      </c>
      <c r="I73" s="19" t="s">
        <v>281</v>
      </c>
      <c r="J73" s="19">
        <v>2</v>
      </c>
      <c r="K73" s="19">
        <v>2</v>
      </c>
      <c r="L73" s="19">
        <v>10</v>
      </c>
      <c r="M73" s="19">
        <v>1</v>
      </c>
      <c r="N73" s="19" t="s">
        <v>282</v>
      </c>
      <c r="O73" s="169" t="s">
        <v>330</v>
      </c>
      <c r="P73" s="196">
        <v>14000000</v>
      </c>
      <c r="Q73" s="41">
        <v>0</v>
      </c>
      <c r="R73" s="41">
        <v>0</v>
      </c>
      <c r="S73" s="41" t="s">
        <v>331</v>
      </c>
      <c r="T73" s="41" t="s">
        <v>332</v>
      </c>
      <c r="U73" s="25" t="s">
        <v>572</v>
      </c>
      <c r="V73" s="25">
        <v>3846666</v>
      </c>
      <c r="W73" s="28" t="s">
        <v>190</v>
      </c>
      <c r="X73" s="19" t="s">
        <v>26</v>
      </c>
      <c r="Y73" s="19" t="s">
        <v>189</v>
      </c>
      <c r="Z73" s="25"/>
      <c r="AA73" s="25"/>
      <c r="AB73" s="25"/>
      <c r="AC73" s="150">
        <f t="shared" si="1"/>
        <v>14000000</v>
      </c>
      <c r="AD73" s="203">
        <v>16023</v>
      </c>
      <c r="AE73" s="211">
        <f>13766670-591282</f>
        <v>13175388</v>
      </c>
      <c r="AF73" s="224">
        <f t="shared" si="2"/>
        <v>824612</v>
      </c>
      <c r="AG73" s="263">
        <v>20923</v>
      </c>
      <c r="AH73" s="266">
        <v>45091</v>
      </c>
      <c r="AI73" s="268">
        <v>13175388</v>
      </c>
      <c r="AJ73" s="262">
        <f t="shared" si="3"/>
        <v>824612</v>
      </c>
      <c r="AK73" s="263" t="s">
        <v>809</v>
      </c>
      <c r="AL73" s="263" t="s">
        <v>810</v>
      </c>
      <c r="AM73" s="305"/>
      <c r="AN73" s="245"/>
    </row>
    <row r="74" spans="1:40" ht="110.25" customHeight="1" x14ac:dyDescent="0.2">
      <c r="A74" s="194" t="s">
        <v>122</v>
      </c>
      <c r="B74" s="70" t="s">
        <v>191</v>
      </c>
      <c r="C74" s="71" t="s">
        <v>341</v>
      </c>
      <c r="D74" s="30" t="s">
        <v>123</v>
      </c>
      <c r="E74" s="4" t="s">
        <v>426</v>
      </c>
      <c r="F74" s="4" t="s">
        <v>426</v>
      </c>
      <c r="G74" s="40" t="s">
        <v>403</v>
      </c>
      <c r="H74" s="42" t="s">
        <v>427</v>
      </c>
      <c r="I74" s="40">
        <v>80111600</v>
      </c>
      <c r="J74" s="40">
        <v>1</v>
      </c>
      <c r="K74" s="40">
        <v>1</v>
      </c>
      <c r="L74" s="40">
        <v>11</v>
      </c>
      <c r="M74" s="40">
        <v>1</v>
      </c>
      <c r="N74" s="40" t="s">
        <v>25</v>
      </c>
      <c r="O74" s="169" t="s">
        <v>330</v>
      </c>
      <c r="P74" s="196">
        <f>3318115*11</f>
        <v>36499265</v>
      </c>
      <c r="Q74" s="93">
        <v>0</v>
      </c>
      <c r="R74" s="93">
        <v>0</v>
      </c>
      <c r="S74" s="93" t="s">
        <v>331</v>
      </c>
      <c r="T74" s="93" t="s">
        <v>332</v>
      </c>
      <c r="U74" s="71" t="s">
        <v>572</v>
      </c>
      <c r="V74" s="71">
        <v>3846666</v>
      </c>
      <c r="W74" s="94" t="s">
        <v>190</v>
      </c>
      <c r="X74" s="40" t="s">
        <v>524</v>
      </c>
      <c r="Y74" s="40" t="s">
        <v>189</v>
      </c>
      <c r="Z74" s="71"/>
      <c r="AA74" s="71"/>
      <c r="AB74" s="71"/>
      <c r="AC74" s="163">
        <f t="shared" si="1"/>
        <v>36499265</v>
      </c>
      <c r="AD74" s="203" t="s">
        <v>625</v>
      </c>
      <c r="AE74" s="211">
        <f>13272460+23226805</f>
        <v>36499265</v>
      </c>
      <c r="AF74" s="224">
        <f t="shared" si="2"/>
        <v>0</v>
      </c>
      <c r="AG74" s="263" t="s">
        <v>718</v>
      </c>
      <c r="AH74" s="277" t="s">
        <v>698</v>
      </c>
      <c r="AI74" s="268">
        <f>13272460+23226805</f>
        <v>36499265</v>
      </c>
      <c r="AJ74" s="262">
        <f t="shared" si="3"/>
        <v>0</v>
      </c>
      <c r="AK74" s="267" t="s">
        <v>719</v>
      </c>
      <c r="AL74" s="267" t="s">
        <v>477</v>
      </c>
      <c r="AM74" s="385">
        <f>3318115+3318115+3318115+3318115</f>
        <v>13272460</v>
      </c>
      <c r="AN74" s="12"/>
    </row>
    <row r="75" spans="1:40" ht="103.5" customHeight="1" x14ac:dyDescent="0.2">
      <c r="A75" s="194" t="s">
        <v>125</v>
      </c>
      <c r="B75" s="70" t="s">
        <v>191</v>
      </c>
      <c r="C75" s="25" t="s">
        <v>314</v>
      </c>
      <c r="D75" s="143" t="s">
        <v>126</v>
      </c>
      <c r="E75" s="34" t="s">
        <v>253</v>
      </c>
      <c r="F75" s="108" t="s">
        <v>256</v>
      </c>
      <c r="G75" s="108" t="s">
        <v>264</v>
      </c>
      <c r="H75" s="108" t="s">
        <v>258</v>
      </c>
      <c r="I75" s="108">
        <v>80111600</v>
      </c>
      <c r="J75" s="108">
        <v>1</v>
      </c>
      <c r="K75" s="108">
        <v>1</v>
      </c>
      <c r="L75" s="108">
        <v>11</v>
      </c>
      <c r="M75" s="108">
        <v>1</v>
      </c>
      <c r="N75" s="108" t="s">
        <v>25</v>
      </c>
      <c r="O75" s="195" t="s">
        <v>330</v>
      </c>
      <c r="P75" s="196">
        <v>36499265</v>
      </c>
      <c r="Q75" s="109">
        <v>0</v>
      </c>
      <c r="R75" s="109">
        <v>0</v>
      </c>
      <c r="S75" s="109" t="s">
        <v>331</v>
      </c>
      <c r="T75" s="109" t="s">
        <v>332</v>
      </c>
      <c r="U75" s="110" t="s">
        <v>572</v>
      </c>
      <c r="V75" s="110">
        <v>3846666</v>
      </c>
      <c r="W75" s="111" t="s">
        <v>190</v>
      </c>
      <c r="X75" s="107" t="s">
        <v>524</v>
      </c>
      <c r="Y75" s="107" t="s">
        <v>303</v>
      </c>
      <c r="Z75" s="110"/>
      <c r="AA75" s="110"/>
      <c r="AB75" s="110"/>
      <c r="AC75" s="162">
        <f t="shared" si="1"/>
        <v>36499265</v>
      </c>
      <c r="AD75" s="203" t="s">
        <v>762</v>
      </c>
      <c r="AE75" s="204">
        <f>11613403-553016+22673793-774227</f>
        <v>32959953</v>
      </c>
      <c r="AF75" s="224">
        <f t="shared" si="2"/>
        <v>3539312</v>
      </c>
      <c r="AG75" s="259" t="s">
        <v>819</v>
      </c>
      <c r="AH75" s="264" t="s">
        <v>816</v>
      </c>
      <c r="AI75" s="261">
        <f>11060387+21899566</f>
        <v>32959953</v>
      </c>
      <c r="AJ75" s="262">
        <f t="shared" si="3"/>
        <v>3539312</v>
      </c>
      <c r="AK75" s="267" t="s">
        <v>820</v>
      </c>
      <c r="AL75" s="264" t="s">
        <v>508</v>
      </c>
      <c r="AM75" s="322">
        <f>1106039+3318116+3318116+3318116</f>
        <v>11060387</v>
      </c>
      <c r="AN75" s="12"/>
    </row>
    <row r="76" spans="1:40" ht="110.25" customHeight="1" x14ac:dyDescent="0.2">
      <c r="A76" s="194" t="s">
        <v>125</v>
      </c>
      <c r="B76" s="70" t="s">
        <v>191</v>
      </c>
      <c r="C76" s="25" t="s">
        <v>314</v>
      </c>
      <c r="D76" s="142" t="s">
        <v>126</v>
      </c>
      <c r="E76" s="5" t="s">
        <v>253</v>
      </c>
      <c r="F76" s="91" t="s">
        <v>256</v>
      </c>
      <c r="G76" s="43" t="s">
        <v>265</v>
      </c>
      <c r="H76" s="43" t="s">
        <v>259</v>
      </c>
      <c r="I76" s="91">
        <v>80111600</v>
      </c>
      <c r="J76" s="91">
        <v>1</v>
      </c>
      <c r="K76" s="91">
        <v>1</v>
      </c>
      <c r="L76" s="91">
        <v>11</v>
      </c>
      <c r="M76" s="91">
        <v>1</v>
      </c>
      <c r="N76" s="91" t="s">
        <v>25</v>
      </c>
      <c r="O76" s="195" t="s">
        <v>330</v>
      </c>
      <c r="P76" s="196">
        <f>3318115*11</f>
        <v>36499265</v>
      </c>
      <c r="Q76" s="96">
        <v>0</v>
      </c>
      <c r="R76" s="96">
        <v>0</v>
      </c>
      <c r="S76" s="96" t="s">
        <v>331</v>
      </c>
      <c r="T76" s="96" t="s">
        <v>332</v>
      </c>
      <c r="U76" s="97" t="s">
        <v>572</v>
      </c>
      <c r="V76" s="97">
        <v>3846666</v>
      </c>
      <c r="W76" s="98" t="s">
        <v>190</v>
      </c>
      <c r="X76" s="43" t="s">
        <v>524</v>
      </c>
      <c r="Y76" s="91" t="s">
        <v>303</v>
      </c>
      <c r="Z76" s="97"/>
      <c r="AA76" s="97"/>
      <c r="AB76" s="97"/>
      <c r="AC76" s="161">
        <f t="shared" si="1"/>
        <v>36499265</v>
      </c>
      <c r="AD76" s="203">
        <v>6723</v>
      </c>
      <c r="AE76" s="204">
        <f>26544928-221208</f>
        <v>26323720</v>
      </c>
      <c r="AF76" s="224">
        <f t="shared" si="2"/>
        <v>10175545</v>
      </c>
      <c r="AG76" s="263">
        <v>6423</v>
      </c>
      <c r="AH76" s="266">
        <v>44988</v>
      </c>
      <c r="AI76" s="315">
        <v>26323720</v>
      </c>
      <c r="AJ76" s="262">
        <f t="shared" si="3"/>
        <v>10175545</v>
      </c>
      <c r="AK76" s="263" t="s">
        <v>544</v>
      </c>
      <c r="AL76" s="263" t="s">
        <v>545</v>
      </c>
      <c r="AM76" s="322">
        <f>3096907.99+3318116+3318116</f>
        <v>9733139.9900000002</v>
      </c>
      <c r="AN76" s="12"/>
    </row>
    <row r="77" spans="1:40" ht="110.25" customHeight="1" x14ac:dyDescent="0.2">
      <c r="A77" s="194" t="s">
        <v>125</v>
      </c>
      <c r="B77" s="70" t="s">
        <v>191</v>
      </c>
      <c r="C77" s="25" t="s">
        <v>314</v>
      </c>
      <c r="D77" s="142" t="s">
        <v>126</v>
      </c>
      <c r="E77" s="5" t="s">
        <v>253</v>
      </c>
      <c r="F77" s="107" t="s">
        <v>256</v>
      </c>
      <c r="G77" s="107" t="s">
        <v>343</v>
      </c>
      <c r="H77" s="108" t="s">
        <v>260</v>
      </c>
      <c r="I77" s="107">
        <v>80111600</v>
      </c>
      <c r="J77" s="107">
        <v>1</v>
      </c>
      <c r="K77" s="107">
        <v>1</v>
      </c>
      <c r="L77" s="107">
        <v>11</v>
      </c>
      <c r="M77" s="107">
        <v>1</v>
      </c>
      <c r="N77" s="107" t="s">
        <v>25</v>
      </c>
      <c r="O77" s="195" t="s">
        <v>330</v>
      </c>
      <c r="P77" s="196">
        <v>16432000</v>
      </c>
      <c r="Q77" s="109">
        <v>0</v>
      </c>
      <c r="R77" s="109">
        <v>0</v>
      </c>
      <c r="S77" s="109" t="s">
        <v>331</v>
      </c>
      <c r="T77" s="109" t="s">
        <v>332</v>
      </c>
      <c r="U77" s="110" t="s">
        <v>572</v>
      </c>
      <c r="V77" s="110">
        <v>3846666</v>
      </c>
      <c r="W77" s="111" t="s">
        <v>190</v>
      </c>
      <c r="X77" s="107" t="s">
        <v>178</v>
      </c>
      <c r="Y77" s="107" t="s">
        <v>303</v>
      </c>
      <c r="Z77" s="110"/>
      <c r="AA77" s="110"/>
      <c r="AB77" s="110"/>
      <c r="AC77" s="162">
        <f t="shared" si="1"/>
        <v>16432000</v>
      </c>
      <c r="AD77" s="203" t="s">
        <v>761</v>
      </c>
      <c r="AE77" s="204">
        <f>6663275-317298+10086023</f>
        <v>16432000</v>
      </c>
      <c r="AF77" s="224">
        <f t="shared" si="2"/>
        <v>0</v>
      </c>
      <c r="AG77" s="259" t="s">
        <v>815</v>
      </c>
      <c r="AH77" s="264" t="s">
        <v>816</v>
      </c>
      <c r="AI77" s="261">
        <f>6345977+10086023</f>
        <v>16432000</v>
      </c>
      <c r="AJ77" s="262">
        <f t="shared" si="3"/>
        <v>0</v>
      </c>
      <c r="AK77" s="267" t="s">
        <v>817</v>
      </c>
      <c r="AL77" s="264" t="s">
        <v>507</v>
      </c>
      <c r="AM77" s="322">
        <f>1903793+634598+1903793+1903793</f>
        <v>6345977</v>
      </c>
      <c r="AN77" s="12"/>
    </row>
    <row r="78" spans="1:40" ht="110.25" customHeight="1" x14ac:dyDescent="0.2">
      <c r="A78" s="194" t="s">
        <v>125</v>
      </c>
      <c r="B78" s="70" t="s">
        <v>191</v>
      </c>
      <c r="C78" s="25" t="s">
        <v>314</v>
      </c>
      <c r="D78" s="142" t="s">
        <v>126</v>
      </c>
      <c r="E78" s="5" t="s">
        <v>253</v>
      </c>
      <c r="F78" s="107" t="s">
        <v>256</v>
      </c>
      <c r="G78" s="107" t="s">
        <v>343</v>
      </c>
      <c r="H78" s="108" t="s">
        <v>260</v>
      </c>
      <c r="I78" s="107">
        <v>80111600</v>
      </c>
      <c r="J78" s="107">
        <v>1</v>
      </c>
      <c r="K78" s="107">
        <v>1</v>
      </c>
      <c r="L78" s="107">
        <v>11</v>
      </c>
      <c r="M78" s="107">
        <v>1</v>
      </c>
      <c r="N78" s="107" t="s">
        <v>25</v>
      </c>
      <c r="O78" s="195" t="s">
        <v>406</v>
      </c>
      <c r="P78" s="196">
        <v>4556000</v>
      </c>
      <c r="Q78" s="109">
        <v>0</v>
      </c>
      <c r="R78" s="109">
        <v>0</v>
      </c>
      <c r="S78" s="109" t="s">
        <v>331</v>
      </c>
      <c r="T78" s="109" t="s">
        <v>332</v>
      </c>
      <c r="U78" s="110" t="s">
        <v>572</v>
      </c>
      <c r="V78" s="110">
        <v>3846666</v>
      </c>
      <c r="W78" s="111" t="s">
        <v>190</v>
      </c>
      <c r="X78" s="107" t="s">
        <v>178</v>
      </c>
      <c r="Y78" s="107" t="s">
        <v>303</v>
      </c>
      <c r="Z78" s="110"/>
      <c r="AA78" s="110"/>
      <c r="AB78" s="110"/>
      <c r="AC78" s="162">
        <f t="shared" si="1"/>
        <v>4556000</v>
      </c>
      <c r="AD78" s="203">
        <v>19023</v>
      </c>
      <c r="AE78" s="204">
        <f>2923229-444218</f>
        <v>2479011</v>
      </c>
      <c r="AF78" s="224">
        <f t="shared" si="2"/>
        <v>2076989</v>
      </c>
      <c r="AG78" s="263">
        <v>20723</v>
      </c>
      <c r="AH78" s="266">
        <v>45090</v>
      </c>
      <c r="AI78" s="261">
        <v>2479011</v>
      </c>
      <c r="AJ78" s="262">
        <f t="shared" si="3"/>
        <v>2076989</v>
      </c>
      <c r="AK78" s="263" t="s">
        <v>818</v>
      </c>
      <c r="AL78" s="264" t="s">
        <v>507</v>
      </c>
      <c r="AM78" s="409"/>
      <c r="AN78" s="245"/>
    </row>
    <row r="79" spans="1:40" ht="110.25" customHeight="1" x14ac:dyDescent="0.2">
      <c r="A79" s="194" t="s">
        <v>125</v>
      </c>
      <c r="B79" s="70" t="s">
        <v>191</v>
      </c>
      <c r="C79" s="25" t="s">
        <v>314</v>
      </c>
      <c r="D79" s="142" t="s">
        <v>126</v>
      </c>
      <c r="E79" s="5" t="s">
        <v>253</v>
      </c>
      <c r="F79" s="107" t="s">
        <v>256</v>
      </c>
      <c r="G79" s="107" t="s">
        <v>343</v>
      </c>
      <c r="H79" s="108" t="s">
        <v>278</v>
      </c>
      <c r="I79" s="107">
        <v>80111600</v>
      </c>
      <c r="J79" s="107">
        <v>1</v>
      </c>
      <c r="K79" s="107">
        <v>1</v>
      </c>
      <c r="L79" s="107">
        <v>6</v>
      </c>
      <c r="M79" s="107">
        <v>1</v>
      </c>
      <c r="N79" s="107" t="s">
        <v>25</v>
      </c>
      <c r="O79" s="195" t="s">
        <v>330</v>
      </c>
      <c r="P79" s="196">
        <f>3318115*6</f>
        <v>19908690</v>
      </c>
      <c r="Q79" s="109">
        <v>0</v>
      </c>
      <c r="R79" s="109">
        <v>0</v>
      </c>
      <c r="S79" s="109" t="s">
        <v>331</v>
      </c>
      <c r="T79" s="109" t="s">
        <v>332</v>
      </c>
      <c r="U79" s="110" t="s">
        <v>572</v>
      </c>
      <c r="V79" s="110">
        <v>3846666</v>
      </c>
      <c r="W79" s="111" t="s">
        <v>190</v>
      </c>
      <c r="X79" s="108" t="s">
        <v>524</v>
      </c>
      <c r="Y79" s="107" t="s">
        <v>303</v>
      </c>
      <c r="Z79" s="110"/>
      <c r="AA79" s="110"/>
      <c r="AB79" s="110"/>
      <c r="AC79" s="162">
        <f t="shared" si="1"/>
        <v>19908690</v>
      </c>
      <c r="AD79" s="243"/>
      <c r="AE79" s="251"/>
      <c r="AF79" s="242">
        <f t="shared" si="2"/>
        <v>19908690</v>
      </c>
      <c r="AG79" s="265"/>
      <c r="AH79" s="265"/>
      <c r="AI79" s="314"/>
      <c r="AJ79" s="258">
        <f t="shared" si="3"/>
        <v>19908690</v>
      </c>
      <c r="AK79" s="265"/>
      <c r="AL79" s="265"/>
      <c r="AM79" s="305"/>
      <c r="AN79" s="245"/>
    </row>
    <row r="80" spans="1:40" ht="110.25" customHeight="1" x14ac:dyDescent="0.2">
      <c r="A80" s="194" t="s">
        <v>125</v>
      </c>
      <c r="B80" s="70" t="s">
        <v>191</v>
      </c>
      <c r="C80" s="25" t="s">
        <v>314</v>
      </c>
      <c r="D80" s="142" t="s">
        <v>126</v>
      </c>
      <c r="E80" s="5" t="s">
        <v>253</v>
      </c>
      <c r="F80" s="107" t="s">
        <v>256</v>
      </c>
      <c r="G80" s="107" t="s">
        <v>343</v>
      </c>
      <c r="H80" s="108" t="s">
        <v>121</v>
      </c>
      <c r="I80" s="107">
        <v>78111502</v>
      </c>
      <c r="J80" s="107">
        <v>3</v>
      </c>
      <c r="K80" s="107">
        <v>3</v>
      </c>
      <c r="L80" s="107">
        <v>9</v>
      </c>
      <c r="M80" s="107">
        <v>1</v>
      </c>
      <c r="N80" s="107" t="s">
        <v>25</v>
      </c>
      <c r="O80" s="195" t="s">
        <v>330</v>
      </c>
      <c r="P80" s="196">
        <v>9000000</v>
      </c>
      <c r="Q80" s="109">
        <v>0</v>
      </c>
      <c r="R80" s="109">
        <v>0</v>
      </c>
      <c r="S80" s="109" t="s">
        <v>331</v>
      </c>
      <c r="T80" s="109" t="s">
        <v>332</v>
      </c>
      <c r="U80" s="110" t="s">
        <v>302</v>
      </c>
      <c r="V80" s="110">
        <v>3846666</v>
      </c>
      <c r="W80" s="111" t="s">
        <v>23</v>
      </c>
      <c r="X80" s="110" t="s">
        <v>268</v>
      </c>
      <c r="Y80" s="107" t="s">
        <v>41</v>
      </c>
      <c r="Z80" s="110"/>
      <c r="AA80" s="110"/>
      <c r="AB80" s="110"/>
      <c r="AC80" s="162">
        <f t="shared" si="1"/>
        <v>9000000</v>
      </c>
      <c r="AD80" s="203">
        <v>13423</v>
      </c>
      <c r="AE80" s="241">
        <v>9000000</v>
      </c>
      <c r="AF80" s="224">
        <f t="shared" si="2"/>
        <v>0</v>
      </c>
      <c r="AG80" s="263">
        <v>17523</v>
      </c>
      <c r="AH80" s="266">
        <v>45076</v>
      </c>
      <c r="AI80" s="268">
        <v>9000000</v>
      </c>
      <c r="AJ80" s="262">
        <f t="shared" si="3"/>
        <v>0</v>
      </c>
      <c r="AK80" s="263" t="s">
        <v>661</v>
      </c>
      <c r="AL80" s="267" t="s">
        <v>662</v>
      </c>
      <c r="AM80" s="305"/>
      <c r="AN80" s="245"/>
    </row>
    <row r="81" spans="1:40" ht="110.25" customHeight="1" x14ac:dyDescent="0.2">
      <c r="A81" s="194" t="s">
        <v>125</v>
      </c>
      <c r="B81" s="70" t="s">
        <v>191</v>
      </c>
      <c r="C81" s="25" t="s">
        <v>314</v>
      </c>
      <c r="D81" s="142" t="s">
        <v>126</v>
      </c>
      <c r="E81" s="5" t="s">
        <v>253</v>
      </c>
      <c r="F81" s="107" t="s">
        <v>256</v>
      </c>
      <c r="G81" s="107" t="s">
        <v>343</v>
      </c>
      <c r="H81" s="108" t="s">
        <v>247</v>
      </c>
      <c r="I81" s="107" t="s">
        <v>1</v>
      </c>
      <c r="J81" s="107" t="s">
        <v>1</v>
      </c>
      <c r="K81" s="107" t="s">
        <v>1</v>
      </c>
      <c r="L81" s="107" t="s">
        <v>1</v>
      </c>
      <c r="M81" s="107" t="s">
        <v>1</v>
      </c>
      <c r="N81" s="107" t="s">
        <v>45</v>
      </c>
      <c r="O81" s="195" t="s">
        <v>406</v>
      </c>
      <c r="P81" s="196">
        <v>15444000</v>
      </c>
      <c r="Q81" s="109">
        <v>0</v>
      </c>
      <c r="R81" s="109">
        <v>0</v>
      </c>
      <c r="S81" s="109" t="s">
        <v>331</v>
      </c>
      <c r="T81" s="109" t="s">
        <v>332</v>
      </c>
      <c r="U81" s="110" t="s">
        <v>572</v>
      </c>
      <c r="V81" s="110">
        <v>3846666</v>
      </c>
      <c r="W81" s="111" t="s">
        <v>190</v>
      </c>
      <c r="X81" s="110" t="s">
        <v>267</v>
      </c>
      <c r="Y81" s="107" t="s">
        <v>1</v>
      </c>
      <c r="Z81" s="110"/>
      <c r="AA81" s="110"/>
      <c r="AB81" s="110"/>
      <c r="AC81" s="162">
        <f t="shared" si="1"/>
        <v>15444000</v>
      </c>
      <c r="AD81" s="237" t="s">
        <v>757</v>
      </c>
      <c r="AE81" s="204">
        <f>1191542+926755+1191542-926755+1046021+926755+1062247+1541507</f>
        <v>6959614</v>
      </c>
      <c r="AF81" s="224">
        <f t="shared" ref="AF81:AF114" si="37">+AC81-AE81</f>
        <v>8484386</v>
      </c>
      <c r="AG81" s="267" t="s">
        <v>682</v>
      </c>
      <c r="AH81" s="277" t="s">
        <v>683</v>
      </c>
      <c r="AI81" s="275">
        <f>1191542+1191542+1046021+926755</f>
        <v>4355860</v>
      </c>
      <c r="AJ81" s="262">
        <f t="shared" ref="AJ81:AJ147" si="38">+AC81-AI81</f>
        <v>11088140</v>
      </c>
      <c r="AK81" s="263" t="s">
        <v>53</v>
      </c>
      <c r="AL81" s="267" t="s">
        <v>608</v>
      </c>
      <c r="AM81" s="381">
        <f>1191542+1191542+1046021+926755</f>
        <v>4355860</v>
      </c>
      <c r="AN81" s="12"/>
    </row>
    <row r="82" spans="1:40" ht="110.25" customHeight="1" x14ac:dyDescent="0.2">
      <c r="A82" s="194" t="s">
        <v>125</v>
      </c>
      <c r="B82" s="70" t="s">
        <v>191</v>
      </c>
      <c r="C82" s="25" t="s">
        <v>314</v>
      </c>
      <c r="D82" s="142" t="s">
        <v>126</v>
      </c>
      <c r="E82" s="5" t="s">
        <v>253</v>
      </c>
      <c r="F82" s="107" t="s">
        <v>256</v>
      </c>
      <c r="G82" s="107" t="s">
        <v>343</v>
      </c>
      <c r="H82" s="108" t="s">
        <v>248</v>
      </c>
      <c r="I82" s="107" t="s">
        <v>1</v>
      </c>
      <c r="J82" s="107" t="s">
        <v>1</v>
      </c>
      <c r="K82" s="107" t="s">
        <v>1</v>
      </c>
      <c r="L82" s="107" t="s">
        <v>1</v>
      </c>
      <c r="M82" s="107" t="s">
        <v>1</v>
      </c>
      <c r="N82" s="107" t="s">
        <v>45</v>
      </c>
      <c r="O82" s="195" t="s">
        <v>330</v>
      </c>
      <c r="P82" s="196">
        <v>2296000</v>
      </c>
      <c r="Q82" s="109">
        <v>0</v>
      </c>
      <c r="R82" s="109">
        <v>0</v>
      </c>
      <c r="S82" s="109" t="s">
        <v>331</v>
      </c>
      <c r="T82" s="109" t="s">
        <v>332</v>
      </c>
      <c r="U82" s="110" t="s">
        <v>572</v>
      </c>
      <c r="V82" s="110">
        <v>3846666</v>
      </c>
      <c r="W82" s="111" t="s">
        <v>190</v>
      </c>
      <c r="X82" s="110" t="s">
        <v>269</v>
      </c>
      <c r="Y82" s="107" t="s">
        <v>1</v>
      </c>
      <c r="Z82" s="110"/>
      <c r="AA82" s="110"/>
      <c r="AB82" s="110"/>
      <c r="AC82" s="162">
        <f t="shared" ref="AC82:AC148" si="39">P82+Z82+AA82-AB82</f>
        <v>2296000</v>
      </c>
      <c r="AD82" s="237" t="s">
        <v>758</v>
      </c>
      <c r="AE82" s="204">
        <f>170000+120000+120000-120000+275000+210000+152000+170000</f>
        <v>1097000</v>
      </c>
      <c r="AF82" s="224">
        <f t="shared" si="37"/>
        <v>1199000</v>
      </c>
      <c r="AG82" s="267" t="s">
        <v>682</v>
      </c>
      <c r="AH82" s="277" t="s">
        <v>684</v>
      </c>
      <c r="AI82" s="275">
        <f>170000+120000+210000+275000</f>
        <v>775000</v>
      </c>
      <c r="AJ82" s="262">
        <f t="shared" si="38"/>
        <v>1521000</v>
      </c>
      <c r="AK82" s="263" t="s">
        <v>53</v>
      </c>
      <c r="AL82" s="267" t="s">
        <v>608</v>
      </c>
      <c r="AM82" s="381">
        <f>170000+120000+210000+275000</f>
        <v>775000</v>
      </c>
      <c r="AN82" s="12"/>
    </row>
    <row r="83" spans="1:40" ht="110.25" customHeight="1" x14ac:dyDescent="0.2">
      <c r="A83" s="194" t="s">
        <v>335</v>
      </c>
      <c r="B83" s="76" t="s">
        <v>192</v>
      </c>
      <c r="C83" s="201" t="s">
        <v>340</v>
      </c>
      <c r="D83" s="73" t="s">
        <v>183</v>
      </c>
      <c r="E83" s="14" t="s">
        <v>128</v>
      </c>
      <c r="F83" s="26" t="s">
        <v>193</v>
      </c>
      <c r="G83" s="26" t="s">
        <v>194</v>
      </c>
      <c r="H83" s="24" t="s">
        <v>184</v>
      </c>
      <c r="I83" s="25">
        <v>72103300</v>
      </c>
      <c r="J83" s="27">
        <v>6</v>
      </c>
      <c r="K83" s="27">
        <v>6</v>
      </c>
      <c r="L83" s="27">
        <v>1</v>
      </c>
      <c r="M83" s="27">
        <v>1</v>
      </c>
      <c r="N83" s="25" t="s">
        <v>181</v>
      </c>
      <c r="O83" s="112" t="s">
        <v>405</v>
      </c>
      <c r="P83" s="153">
        <v>10000000</v>
      </c>
      <c r="Q83" s="41">
        <v>0</v>
      </c>
      <c r="R83" s="41">
        <v>0</v>
      </c>
      <c r="S83" s="41" t="s">
        <v>331</v>
      </c>
      <c r="T83" s="41" t="s">
        <v>332</v>
      </c>
      <c r="U83" s="24" t="s">
        <v>22</v>
      </c>
      <c r="V83" s="24">
        <v>3846666</v>
      </c>
      <c r="W83" s="28" t="s">
        <v>23</v>
      </c>
      <c r="X83" s="19" t="s">
        <v>26</v>
      </c>
      <c r="Y83" s="25" t="s">
        <v>41</v>
      </c>
      <c r="Z83" s="25"/>
      <c r="AA83" s="25"/>
      <c r="AB83" s="25"/>
      <c r="AC83" s="150">
        <f t="shared" si="39"/>
        <v>10000000</v>
      </c>
      <c r="AD83" s="243"/>
      <c r="AE83" s="251"/>
      <c r="AF83" s="242">
        <f t="shared" si="37"/>
        <v>10000000</v>
      </c>
      <c r="AG83" s="265"/>
      <c r="AH83" s="265"/>
      <c r="AI83" s="314"/>
      <c r="AJ83" s="258">
        <f t="shared" si="38"/>
        <v>10000000</v>
      </c>
      <c r="AK83" s="265"/>
      <c r="AL83" s="265"/>
      <c r="AM83" s="305"/>
      <c r="AN83" s="245"/>
    </row>
    <row r="84" spans="1:40" ht="110.25" customHeight="1" x14ac:dyDescent="0.2">
      <c r="A84" s="194" t="s">
        <v>335</v>
      </c>
      <c r="B84" s="76" t="s">
        <v>192</v>
      </c>
      <c r="C84" s="201" t="s">
        <v>340</v>
      </c>
      <c r="D84" s="73" t="s">
        <v>183</v>
      </c>
      <c r="E84" s="145" t="s">
        <v>128</v>
      </c>
      <c r="F84" s="26" t="s">
        <v>193</v>
      </c>
      <c r="G84" s="26" t="s">
        <v>408</v>
      </c>
      <c r="H84" s="24" t="s">
        <v>184</v>
      </c>
      <c r="I84" s="25">
        <v>72103300</v>
      </c>
      <c r="J84" s="27">
        <v>6</v>
      </c>
      <c r="K84" s="27">
        <v>6</v>
      </c>
      <c r="L84" s="27">
        <v>1</v>
      </c>
      <c r="M84" s="27">
        <v>1</v>
      </c>
      <c r="N84" s="25" t="s">
        <v>181</v>
      </c>
      <c r="O84" s="112" t="s">
        <v>406</v>
      </c>
      <c r="P84" s="153">
        <v>20000000</v>
      </c>
      <c r="Q84" s="41">
        <v>0</v>
      </c>
      <c r="R84" s="41">
        <v>0</v>
      </c>
      <c r="S84" s="41" t="s">
        <v>331</v>
      </c>
      <c r="T84" s="41" t="s">
        <v>332</v>
      </c>
      <c r="U84" s="24" t="s">
        <v>22</v>
      </c>
      <c r="V84" s="24">
        <v>3846666</v>
      </c>
      <c r="W84" s="28" t="s">
        <v>23</v>
      </c>
      <c r="X84" s="19" t="s">
        <v>26</v>
      </c>
      <c r="Y84" s="25" t="s">
        <v>41</v>
      </c>
      <c r="Z84" s="25"/>
      <c r="AA84" s="25"/>
      <c r="AB84" s="25"/>
      <c r="AC84" s="150">
        <f t="shared" si="39"/>
        <v>20000000</v>
      </c>
      <c r="AD84" s="243"/>
      <c r="AE84" s="251"/>
      <c r="AF84" s="242">
        <f t="shared" si="37"/>
        <v>20000000</v>
      </c>
      <c r="AG84" s="265"/>
      <c r="AH84" s="265"/>
      <c r="AI84" s="314"/>
      <c r="AJ84" s="258">
        <f t="shared" si="38"/>
        <v>20000000</v>
      </c>
      <c r="AK84" s="265"/>
      <c r="AL84" s="265"/>
      <c r="AM84" s="305"/>
      <c r="AN84" s="245"/>
    </row>
    <row r="85" spans="1:40" ht="110.25" customHeight="1" x14ac:dyDescent="0.2">
      <c r="A85" s="194" t="s">
        <v>335</v>
      </c>
      <c r="B85" s="76" t="s">
        <v>192</v>
      </c>
      <c r="C85" s="201" t="s">
        <v>340</v>
      </c>
      <c r="D85" s="73" t="s">
        <v>183</v>
      </c>
      <c r="E85" s="145" t="s">
        <v>128</v>
      </c>
      <c r="F85" s="26" t="s">
        <v>193</v>
      </c>
      <c r="G85" s="26" t="s">
        <v>409</v>
      </c>
      <c r="H85" s="24" t="s">
        <v>184</v>
      </c>
      <c r="I85" s="25">
        <v>72103300</v>
      </c>
      <c r="J85" s="27">
        <v>6</v>
      </c>
      <c r="K85" s="27">
        <v>6</v>
      </c>
      <c r="L85" s="27">
        <v>1</v>
      </c>
      <c r="M85" s="27">
        <v>1</v>
      </c>
      <c r="N85" s="25" t="s">
        <v>181</v>
      </c>
      <c r="O85" s="112" t="s">
        <v>330</v>
      </c>
      <c r="P85" s="153">
        <v>2138739</v>
      </c>
      <c r="Q85" s="41">
        <v>0</v>
      </c>
      <c r="R85" s="41">
        <v>0</v>
      </c>
      <c r="S85" s="41" t="s">
        <v>331</v>
      </c>
      <c r="T85" s="41" t="s">
        <v>332</v>
      </c>
      <c r="U85" s="24" t="s">
        <v>22</v>
      </c>
      <c r="V85" s="24">
        <v>3846666</v>
      </c>
      <c r="W85" s="28" t="s">
        <v>23</v>
      </c>
      <c r="X85" s="19" t="s">
        <v>26</v>
      </c>
      <c r="Y85" s="25" t="s">
        <v>41</v>
      </c>
      <c r="Z85" s="25"/>
      <c r="AA85" s="25"/>
      <c r="AB85" s="25"/>
      <c r="AC85" s="150">
        <f t="shared" si="39"/>
        <v>2138739</v>
      </c>
      <c r="AD85" s="243"/>
      <c r="AE85" s="251"/>
      <c r="AF85" s="242">
        <f t="shared" si="37"/>
        <v>2138739</v>
      </c>
      <c r="AG85" s="265"/>
      <c r="AH85" s="265"/>
      <c r="AI85" s="314"/>
      <c r="AJ85" s="258">
        <f t="shared" si="38"/>
        <v>2138739</v>
      </c>
      <c r="AK85" s="265"/>
      <c r="AL85" s="265"/>
      <c r="AM85" s="305"/>
      <c r="AN85" s="245"/>
    </row>
    <row r="86" spans="1:40" ht="110.25" customHeight="1" x14ac:dyDescent="0.2">
      <c r="A86" s="20" t="s">
        <v>334</v>
      </c>
      <c r="B86" s="76" t="s">
        <v>192</v>
      </c>
      <c r="C86" s="78" t="s">
        <v>339</v>
      </c>
      <c r="D86" s="24" t="s">
        <v>28</v>
      </c>
      <c r="E86" s="29" t="s">
        <v>164</v>
      </c>
      <c r="F86" s="43" t="s">
        <v>164</v>
      </c>
      <c r="G86" s="43" t="s">
        <v>430</v>
      </c>
      <c r="H86" s="43" t="s">
        <v>29</v>
      </c>
      <c r="I86" s="91">
        <v>80111600</v>
      </c>
      <c r="J86" s="91">
        <v>1</v>
      </c>
      <c r="K86" s="91">
        <v>1</v>
      </c>
      <c r="L86" s="91">
        <v>11</v>
      </c>
      <c r="M86" s="91">
        <v>1</v>
      </c>
      <c r="N86" s="91" t="s">
        <v>25</v>
      </c>
      <c r="O86" s="146" t="s">
        <v>330</v>
      </c>
      <c r="P86" s="159">
        <f>2223694*11</f>
        <v>24460634</v>
      </c>
      <c r="Q86" s="96">
        <v>0</v>
      </c>
      <c r="R86" s="96">
        <v>0</v>
      </c>
      <c r="S86" s="96" t="s">
        <v>331</v>
      </c>
      <c r="T86" s="96" t="s">
        <v>332</v>
      </c>
      <c r="U86" s="43" t="s">
        <v>22</v>
      </c>
      <c r="V86" s="43">
        <v>3846666</v>
      </c>
      <c r="W86" s="98" t="s">
        <v>23</v>
      </c>
      <c r="X86" s="113" t="s">
        <v>178</v>
      </c>
      <c r="Y86" s="91" t="s">
        <v>31</v>
      </c>
      <c r="Z86" s="91"/>
      <c r="AA86" s="91"/>
      <c r="AB86" s="161">
        <v>24398417</v>
      </c>
      <c r="AC86" s="161">
        <f t="shared" si="39"/>
        <v>62217</v>
      </c>
      <c r="AD86" s="243"/>
      <c r="AE86" s="251"/>
      <c r="AF86" s="242">
        <f t="shared" si="37"/>
        <v>62217</v>
      </c>
      <c r="AG86" s="265"/>
      <c r="AH86" s="265"/>
      <c r="AI86" s="314"/>
      <c r="AJ86" s="258">
        <f t="shared" si="38"/>
        <v>62217</v>
      </c>
      <c r="AK86" s="265"/>
      <c r="AL86" s="265"/>
      <c r="AM86" s="305"/>
      <c r="AN86" s="243" t="s">
        <v>588</v>
      </c>
    </row>
    <row r="87" spans="1:40" ht="110.25" customHeight="1" x14ac:dyDescent="0.2">
      <c r="A87" s="20" t="s">
        <v>334</v>
      </c>
      <c r="B87" s="76" t="s">
        <v>192</v>
      </c>
      <c r="C87" s="78" t="s">
        <v>339</v>
      </c>
      <c r="D87" s="24" t="s">
        <v>28</v>
      </c>
      <c r="E87" s="29" t="s">
        <v>164</v>
      </c>
      <c r="F87" s="43" t="s">
        <v>164</v>
      </c>
      <c r="G87" s="43" t="s">
        <v>430</v>
      </c>
      <c r="H87" s="43" t="s">
        <v>175</v>
      </c>
      <c r="I87" s="43">
        <v>80111600</v>
      </c>
      <c r="J87" s="43">
        <v>1</v>
      </c>
      <c r="K87" s="43">
        <v>1</v>
      </c>
      <c r="L87" s="43">
        <v>11</v>
      </c>
      <c r="M87" s="43">
        <v>1</v>
      </c>
      <c r="N87" s="91" t="s">
        <v>25</v>
      </c>
      <c r="O87" s="95" t="s">
        <v>330</v>
      </c>
      <c r="P87" s="151">
        <f>2565200*11</f>
        <v>28217200</v>
      </c>
      <c r="Q87" s="96">
        <v>0</v>
      </c>
      <c r="R87" s="96">
        <v>0</v>
      </c>
      <c r="S87" s="96" t="s">
        <v>331</v>
      </c>
      <c r="T87" s="96" t="s">
        <v>332</v>
      </c>
      <c r="U87" s="43" t="s">
        <v>176</v>
      </c>
      <c r="V87" s="43">
        <v>3846666</v>
      </c>
      <c r="W87" s="98" t="s">
        <v>177</v>
      </c>
      <c r="X87" s="113" t="s">
        <v>178</v>
      </c>
      <c r="Y87" s="91" t="s">
        <v>31</v>
      </c>
      <c r="Z87" s="43"/>
      <c r="AA87" s="91"/>
      <c r="AB87" s="91"/>
      <c r="AC87" s="161">
        <f t="shared" si="39"/>
        <v>28217200</v>
      </c>
      <c r="AD87" s="203" t="s">
        <v>673</v>
      </c>
      <c r="AE87" s="204">
        <f>10260800+17956400</f>
        <v>28217200</v>
      </c>
      <c r="AF87" s="224">
        <f t="shared" si="37"/>
        <v>0</v>
      </c>
      <c r="AG87" s="263" t="s">
        <v>677</v>
      </c>
      <c r="AH87" s="277" t="s">
        <v>654</v>
      </c>
      <c r="AI87" s="275">
        <f>10260800+17956400</f>
        <v>28217200</v>
      </c>
      <c r="AJ87" s="262">
        <f t="shared" si="38"/>
        <v>0</v>
      </c>
      <c r="AK87" s="263" t="s">
        <v>451</v>
      </c>
      <c r="AL87" s="267" t="s">
        <v>452</v>
      </c>
      <c r="AM87" s="385">
        <f>1111587+2565200+2565200+2565200+1453613+1026080</f>
        <v>11286880</v>
      </c>
      <c r="AN87" s="12"/>
    </row>
    <row r="88" spans="1:40" ht="132.75" customHeight="1" x14ac:dyDescent="0.2">
      <c r="A88" s="20" t="s">
        <v>334</v>
      </c>
      <c r="B88" s="76" t="s">
        <v>192</v>
      </c>
      <c r="C88" s="78" t="s">
        <v>339</v>
      </c>
      <c r="D88" s="24" t="s">
        <v>28</v>
      </c>
      <c r="E88" s="29" t="s">
        <v>164</v>
      </c>
      <c r="F88" s="43" t="s">
        <v>164</v>
      </c>
      <c r="G88" s="43" t="s">
        <v>430</v>
      </c>
      <c r="H88" s="43" t="s">
        <v>179</v>
      </c>
      <c r="I88" s="43">
        <v>80111600</v>
      </c>
      <c r="J88" s="43">
        <v>1</v>
      </c>
      <c r="K88" s="43">
        <v>1</v>
      </c>
      <c r="L88" s="43">
        <v>11</v>
      </c>
      <c r="M88" s="43">
        <v>1</v>
      </c>
      <c r="N88" s="91" t="s">
        <v>25</v>
      </c>
      <c r="O88" s="95" t="s">
        <v>330</v>
      </c>
      <c r="P88" s="151">
        <f>2672193*11</f>
        <v>29394123</v>
      </c>
      <c r="Q88" s="96">
        <v>0</v>
      </c>
      <c r="R88" s="96">
        <v>0</v>
      </c>
      <c r="S88" s="96" t="s">
        <v>331</v>
      </c>
      <c r="T88" s="96" t="s">
        <v>332</v>
      </c>
      <c r="U88" s="43" t="s">
        <v>176</v>
      </c>
      <c r="V88" s="43">
        <v>3846666</v>
      </c>
      <c r="W88" s="98" t="s">
        <v>177</v>
      </c>
      <c r="X88" s="113" t="s">
        <v>178</v>
      </c>
      <c r="Y88" s="91" t="s">
        <v>31</v>
      </c>
      <c r="Z88" s="43"/>
      <c r="AA88" s="91"/>
      <c r="AB88" s="91"/>
      <c r="AC88" s="161">
        <f t="shared" si="39"/>
        <v>29394123</v>
      </c>
      <c r="AD88" s="203" t="s">
        <v>675</v>
      </c>
      <c r="AE88" s="204">
        <f>10599699+18705351</f>
        <v>29305050</v>
      </c>
      <c r="AF88" s="224">
        <f t="shared" si="37"/>
        <v>89073</v>
      </c>
      <c r="AG88" s="263" t="s">
        <v>697</v>
      </c>
      <c r="AH88" s="277" t="s">
        <v>698</v>
      </c>
      <c r="AI88" s="268">
        <f>10599699+18705351</f>
        <v>29305050</v>
      </c>
      <c r="AJ88" s="262">
        <f t="shared" si="38"/>
        <v>89073</v>
      </c>
      <c r="AK88" s="267" t="s">
        <v>699</v>
      </c>
      <c r="AL88" s="267" t="s">
        <v>478</v>
      </c>
      <c r="AM88" s="385">
        <f>2583120+2672193+2672193+2672193</f>
        <v>10599699</v>
      </c>
      <c r="AN88" s="12"/>
    </row>
    <row r="89" spans="1:40" ht="110.25" customHeight="1" x14ac:dyDescent="0.2">
      <c r="A89" s="20" t="s">
        <v>334</v>
      </c>
      <c r="B89" s="76" t="s">
        <v>192</v>
      </c>
      <c r="C89" s="78" t="s">
        <v>339</v>
      </c>
      <c r="D89" s="24" t="s">
        <v>28</v>
      </c>
      <c r="E89" s="29" t="s">
        <v>164</v>
      </c>
      <c r="F89" s="43" t="s">
        <v>164</v>
      </c>
      <c r="G89" s="43" t="s">
        <v>430</v>
      </c>
      <c r="H89" s="43" t="s">
        <v>180</v>
      </c>
      <c r="I89" s="92">
        <v>80111600</v>
      </c>
      <c r="J89" s="43">
        <v>1</v>
      </c>
      <c r="K89" s="43">
        <v>1</v>
      </c>
      <c r="L89" s="43">
        <v>11</v>
      </c>
      <c r="M89" s="43">
        <v>1</v>
      </c>
      <c r="N89" s="91" t="s">
        <v>25</v>
      </c>
      <c r="O89" s="95" t="s">
        <v>330</v>
      </c>
      <c r="P89" s="151">
        <f>2672193*11</f>
        <v>29394123</v>
      </c>
      <c r="Q89" s="96">
        <v>0</v>
      </c>
      <c r="R89" s="96">
        <v>0</v>
      </c>
      <c r="S89" s="96" t="s">
        <v>331</v>
      </c>
      <c r="T89" s="96" t="s">
        <v>332</v>
      </c>
      <c r="U89" s="43" t="s">
        <v>176</v>
      </c>
      <c r="V89" s="43">
        <v>3846666</v>
      </c>
      <c r="W89" s="98" t="s">
        <v>177</v>
      </c>
      <c r="X89" s="91" t="s">
        <v>524</v>
      </c>
      <c r="Y89" s="91" t="s">
        <v>31</v>
      </c>
      <c r="Z89" s="43"/>
      <c r="AA89" s="91"/>
      <c r="AB89" s="91"/>
      <c r="AC89" s="161">
        <f t="shared" si="39"/>
        <v>29394123</v>
      </c>
      <c r="AD89" s="203" t="s">
        <v>676</v>
      </c>
      <c r="AE89" s="204">
        <f>10688772+18616278</f>
        <v>29305050</v>
      </c>
      <c r="AF89" s="224">
        <f t="shared" si="37"/>
        <v>89073</v>
      </c>
      <c r="AG89" s="263" t="s">
        <v>728</v>
      </c>
      <c r="AH89" s="277" t="s">
        <v>729</v>
      </c>
      <c r="AI89" s="268">
        <f>10688772+18616278</f>
        <v>29305050</v>
      </c>
      <c r="AJ89" s="262">
        <f t="shared" si="38"/>
        <v>89073</v>
      </c>
      <c r="AK89" s="271" t="s">
        <v>730</v>
      </c>
      <c r="AL89" s="271" t="s">
        <v>472</v>
      </c>
      <c r="AM89" s="385">
        <f>2672193+2672193+2672193+2672193</f>
        <v>10688772</v>
      </c>
      <c r="AN89" s="12"/>
    </row>
    <row r="90" spans="1:40" ht="110.25" customHeight="1" x14ac:dyDescent="0.2">
      <c r="A90" s="20" t="s">
        <v>334</v>
      </c>
      <c r="B90" s="76" t="s">
        <v>192</v>
      </c>
      <c r="C90" s="78" t="s">
        <v>339</v>
      </c>
      <c r="D90" s="24" t="s">
        <v>28</v>
      </c>
      <c r="E90" s="1" t="s">
        <v>32</v>
      </c>
      <c r="F90" s="1" t="s">
        <v>32</v>
      </c>
      <c r="G90" s="1" t="s">
        <v>431</v>
      </c>
      <c r="H90" s="1" t="s">
        <v>11</v>
      </c>
      <c r="I90" s="4">
        <v>93141808</v>
      </c>
      <c r="J90" s="4">
        <v>2</v>
      </c>
      <c r="K90" s="4">
        <v>2</v>
      </c>
      <c r="L90" s="4">
        <v>10</v>
      </c>
      <c r="M90" s="4">
        <v>1</v>
      </c>
      <c r="N90" s="4" t="s">
        <v>24</v>
      </c>
      <c r="O90" s="3" t="s">
        <v>330</v>
      </c>
      <c r="P90" s="22">
        <v>10000000</v>
      </c>
      <c r="Q90" s="38">
        <v>0</v>
      </c>
      <c r="R90" s="38">
        <v>0</v>
      </c>
      <c r="S90" s="38" t="s">
        <v>331</v>
      </c>
      <c r="T90" s="38" t="s">
        <v>332</v>
      </c>
      <c r="U90" s="1" t="s">
        <v>22</v>
      </c>
      <c r="V90" s="1">
        <v>3846666</v>
      </c>
      <c r="W90" s="6" t="s">
        <v>23</v>
      </c>
      <c r="X90" s="4" t="s">
        <v>26</v>
      </c>
      <c r="Y90" s="2" t="s">
        <v>30</v>
      </c>
      <c r="Z90" s="2"/>
      <c r="AA90" s="2"/>
      <c r="AB90" s="2"/>
      <c r="AC90" s="160">
        <f t="shared" si="39"/>
        <v>10000000</v>
      </c>
      <c r="AD90" s="203">
        <v>623</v>
      </c>
      <c r="AE90" s="204">
        <v>10000000</v>
      </c>
      <c r="AF90" s="224">
        <f t="shared" si="37"/>
        <v>0</v>
      </c>
      <c r="AG90" s="263">
        <v>723</v>
      </c>
      <c r="AH90" s="266">
        <v>44942</v>
      </c>
      <c r="AI90" s="268">
        <v>10000000</v>
      </c>
      <c r="AJ90" s="262">
        <f t="shared" si="38"/>
        <v>0</v>
      </c>
      <c r="AK90" s="272" t="s">
        <v>453</v>
      </c>
      <c r="AL90" s="267" t="s">
        <v>442</v>
      </c>
      <c r="AM90" s="305"/>
      <c r="AN90" s="12"/>
    </row>
    <row r="91" spans="1:40" ht="110.25" customHeight="1" x14ac:dyDescent="0.2">
      <c r="A91" s="20" t="s">
        <v>334</v>
      </c>
      <c r="B91" s="76" t="s">
        <v>192</v>
      </c>
      <c r="C91" s="78" t="s">
        <v>339</v>
      </c>
      <c r="D91" s="24" t="s">
        <v>28</v>
      </c>
      <c r="E91" s="1" t="s">
        <v>32</v>
      </c>
      <c r="F91" s="1" t="s">
        <v>32</v>
      </c>
      <c r="G91" s="1" t="s">
        <v>431</v>
      </c>
      <c r="H91" s="1" t="s">
        <v>12</v>
      </c>
      <c r="I91" s="4" t="s">
        <v>13</v>
      </c>
      <c r="J91" s="4">
        <v>4</v>
      </c>
      <c r="K91" s="4">
        <v>5</v>
      </c>
      <c r="L91" s="4">
        <v>7</v>
      </c>
      <c r="M91" s="4">
        <v>1</v>
      </c>
      <c r="N91" s="4" t="s">
        <v>24</v>
      </c>
      <c r="O91" s="3" t="s">
        <v>405</v>
      </c>
      <c r="P91" s="154">
        <v>14181372</v>
      </c>
      <c r="Q91" s="38">
        <v>0</v>
      </c>
      <c r="R91" s="38">
        <v>0</v>
      </c>
      <c r="S91" s="38" t="s">
        <v>331</v>
      </c>
      <c r="T91" s="38" t="s">
        <v>332</v>
      </c>
      <c r="U91" s="1" t="s">
        <v>22</v>
      </c>
      <c r="V91" s="1">
        <v>3846666</v>
      </c>
      <c r="W91" s="6" t="s">
        <v>23</v>
      </c>
      <c r="X91" s="4" t="s">
        <v>26</v>
      </c>
      <c r="Y91" s="2" t="s">
        <v>30</v>
      </c>
      <c r="Z91" s="2"/>
      <c r="AA91" s="2"/>
      <c r="AB91" s="2"/>
      <c r="AC91" s="160">
        <f t="shared" si="39"/>
        <v>14181372</v>
      </c>
      <c r="AD91" s="203">
        <v>21923</v>
      </c>
      <c r="AE91" s="211">
        <v>14181372</v>
      </c>
      <c r="AF91" s="224">
        <f t="shared" si="37"/>
        <v>0</v>
      </c>
      <c r="AG91" s="265"/>
      <c r="AH91" s="265"/>
      <c r="AI91" s="314"/>
      <c r="AJ91" s="258">
        <f t="shared" si="38"/>
        <v>14181372</v>
      </c>
      <c r="AK91" s="265"/>
      <c r="AL91" s="265"/>
      <c r="AM91" s="305"/>
      <c r="AN91" s="245"/>
    </row>
    <row r="92" spans="1:40" ht="110.25" customHeight="1" x14ac:dyDescent="0.2">
      <c r="A92" s="20" t="s">
        <v>334</v>
      </c>
      <c r="B92" s="76" t="s">
        <v>192</v>
      </c>
      <c r="C92" s="78" t="s">
        <v>339</v>
      </c>
      <c r="D92" s="24" t="s">
        <v>28</v>
      </c>
      <c r="E92" s="1" t="s">
        <v>32</v>
      </c>
      <c r="F92" s="1" t="s">
        <v>32</v>
      </c>
      <c r="G92" s="1" t="s">
        <v>431</v>
      </c>
      <c r="H92" s="1" t="s">
        <v>12</v>
      </c>
      <c r="I92" s="4" t="s">
        <v>13</v>
      </c>
      <c r="J92" s="4">
        <v>4</v>
      </c>
      <c r="K92" s="4">
        <v>5</v>
      </c>
      <c r="L92" s="4">
        <v>7</v>
      </c>
      <c r="M92" s="4">
        <v>1</v>
      </c>
      <c r="N92" s="4" t="s">
        <v>24</v>
      </c>
      <c r="O92" s="3" t="s">
        <v>330</v>
      </c>
      <c r="P92" s="154">
        <v>5818628</v>
      </c>
      <c r="Q92" s="38">
        <v>0</v>
      </c>
      <c r="R92" s="38">
        <v>0</v>
      </c>
      <c r="S92" s="38" t="s">
        <v>331</v>
      </c>
      <c r="T92" s="38" t="s">
        <v>332</v>
      </c>
      <c r="U92" s="1" t="s">
        <v>22</v>
      </c>
      <c r="V92" s="1">
        <v>3846666</v>
      </c>
      <c r="W92" s="6" t="s">
        <v>23</v>
      </c>
      <c r="X92" s="4" t="s">
        <v>26</v>
      </c>
      <c r="Y92" s="2" t="s">
        <v>30</v>
      </c>
      <c r="Z92" s="2"/>
      <c r="AA92" s="2"/>
      <c r="AB92" s="2"/>
      <c r="AC92" s="160">
        <f t="shared" si="39"/>
        <v>5818628</v>
      </c>
      <c r="AD92" s="203">
        <v>21923</v>
      </c>
      <c r="AE92" s="211">
        <v>5818628</v>
      </c>
      <c r="AF92" s="224">
        <f t="shared" si="37"/>
        <v>0</v>
      </c>
      <c r="AG92" s="265"/>
      <c r="AH92" s="265"/>
      <c r="AI92" s="314"/>
      <c r="AJ92" s="258">
        <f t="shared" si="38"/>
        <v>5818628</v>
      </c>
      <c r="AK92" s="265"/>
      <c r="AL92" s="265"/>
      <c r="AM92" s="305"/>
      <c r="AN92" s="245"/>
    </row>
    <row r="93" spans="1:40" ht="110.25" customHeight="1" x14ac:dyDescent="0.2">
      <c r="A93" s="20" t="s">
        <v>334</v>
      </c>
      <c r="B93" s="76" t="s">
        <v>192</v>
      </c>
      <c r="C93" s="78" t="s">
        <v>339</v>
      </c>
      <c r="D93" s="24" t="s">
        <v>28</v>
      </c>
      <c r="E93" s="114" t="s">
        <v>195</v>
      </c>
      <c r="F93" s="114" t="s">
        <v>196</v>
      </c>
      <c r="G93" s="24" t="s">
        <v>432</v>
      </c>
      <c r="H93" s="19" t="s">
        <v>429</v>
      </c>
      <c r="I93" s="25">
        <v>80111600</v>
      </c>
      <c r="J93" s="27">
        <v>1</v>
      </c>
      <c r="K93" s="27">
        <v>1</v>
      </c>
      <c r="L93" s="86" t="s">
        <v>423</v>
      </c>
      <c r="M93" s="27">
        <v>0</v>
      </c>
      <c r="N93" s="19" t="s">
        <v>25</v>
      </c>
      <c r="O93" s="27" t="s">
        <v>330</v>
      </c>
      <c r="P93" s="149">
        <f>3956500*11.5</f>
        <v>45499750</v>
      </c>
      <c r="Q93" s="41">
        <v>0</v>
      </c>
      <c r="R93" s="41">
        <v>0</v>
      </c>
      <c r="S93" s="41" t="s">
        <v>331</v>
      </c>
      <c r="T93" s="41" t="s">
        <v>332</v>
      </c>
      <c r="U93" s="25" t="s">
        <v>336</v>
      </c>
      <c r="V93" s="25">
        <v>3846666</v>
      </c>
      <c r="W93" s="28" t="s">
        <v>142</v>
      </c>
      <c r="X93" s="25" t="s">
        <v>524</v>
      </c>
      <c r="Y93" s="25" t="s">
        <v>336</v>
      </c>
      <c r="Z93" s="25"/>
      <c r="AA93" s="25"/>
      <c r="AB93" s="25"/>
      <c r="AC93" s="150">
        <f t="shared" si="39"/>
        <v>45499750</v>
      </c>
      <c r="AD93" s="203" t="s">
        <v>674</v>
      </c>
      <c r="AE93" s="204">
        <f>15826000+29278100</f>
        <v>45104100</v>
      </c>
      <c r="AF93" s="224">
        <f t="shared" si="37"/>
        <v>395650</v>
      </c>
      <c r="AG93" s="263" t="s">
        <v>678</v>
      </c>
      <c r="AH93" s="277" t="s">
        <v>679</v>
      </c>
      <c r="AI93" s="275">
        <f>15826000+29278100</f>
        <v>45104100</v>
      </c>
      <c r="AJ93" s="262">
        <f t="shared" si="38"/>
        <v>395650</v>
      </c>
      <c r="AK93" s="270" t="s">
        <v>449</v>
      </c>
      <c r="AL93" s="267" t="s">
        <v>450</v>
      </c>
      <c r="AM93" s="320">
        <f>1714483+3956500+3956500+3956500+2242017</f>
        <v>15826000</v>
      </c>
      <c r="AN93" s="12"/>
    </row>
    <row r="94" spans="1:40" ht="110.25" customHeight="1" x14ac:dyDescent="0.2">
      <c r="A94" s="20" t="s">
        <v>334</v>
      </c>
      <c r="B94" s="76" t="s">
        <v>192</v>
      </c>
      <c r="C94" s="78" t="s">
        <v>339</v>
      </c>
      <c r="D94" s="24" t="s">
        <v>28</v>
      </c>
      <c r="E94" s="114" t="s">
        <v>444</v>
      </c>
      <c r="F94" s="114" t="s">
        <v>196</v>
      </c>
      <c r="G94" s="24" t="s">
        <v>432</v>
      </c>
      <c r="H94" s="19" t="s">
        <v>753</v>
      </c>
      <c r="I94" s="25">
        <v>80111600</v>
      </c>
      <c r="J94" s="27">
        <v>6</v>
      </c>
      <c r="K94" s="27">
        <v>6</v>
      </c>
      <c r="L94" s="86" t="s">
        <v>754</v>
      </c>
      <c r="M94" s="27">
        <v>0</v>
      </c>
      <c r="N94" s="19" t="s">
        <v>25</v>
      </c>
      <c r="O94" s="27" t="s">
        <v>330</v>
      </c>
      <c r="P94" s="149">
        <v>0</v>
      </c>
      <c r="Q94" s="41">
        <v>0</v>
      </c>
      <c r="R94" s="41">
        <v>0</v>
      </c>
      <c r="S94" s="41" t="s">
        <v>331</v>
      </c>
      <c r="T94" s="41" t="s">
        <v>332</v>
      </c>
      <c r="U94" s="25" t="s">
        <v>22</v>
      </c>
      <c r="V94" s="25">
        <v>3846666</v>
      </c>
      <c r="W94" s="28" t="s">
        <v>142</v>
      </c>
      <c r="X94" s="25" t="s">
        <v>524</v>
      </c>
      <c r="Y94" s="25" t="s">
        <v>22</v>
      </c>
      <c r="Z94" s="373">
        <v>24398417</v>
      </c>
      <c r="AA94" s="25"/>
      <c r="AB94" s="25"/>
      <c r="AC94" s="150">
        <f t="shared" ref="AC94" si="40">P94+Z94+AA94-AB94</f>
        <v>24398417</v>
      </c>
      <c r="AD94" s="203">
        <v>20623</v>
      </c>
      <c r="AE94" s="204">
        <v>24398417</v>
      </c>
      <c r="AF94" s="224">
        <f t="shared" ref="AF94" si="41">+AC94-AE94</f>
        <v>0</v>
      </c>
      <c r="AG94" s="263">
        <v>22023</v>
      </c>
      <c r="AH94" s="277">
        <v>45099</v>
      </c>
      <c r="AI94" s="275">
        <v>24398417</v>
      </c>
      <c r="AJ94" s="262">
        <f t="shared" ref="AJ94" si="42">+AC94-AI94</f>
        <v>0</v>
      </c>
      <c r="AK94" s="267">
        <v>104</v>
      </c>
      <c r="AL94" s="267" t="s">
        <v>760</v>
      </c>
      <c r="AM94" s="410"/>
      <c r="AN94" s="13" t="s">
        <v>588</v>
      </c>
    </row>
    <row r="95" spans="1:40" ht="110.25" customHeight="1" x14ac:dyDescent="0.2">
      <c r="A95" s="20" t="s">
        <v>334</v>
      </c>
      <c r="B95" s="76" t="s">
        <v>192</v>
      </c>
      <c r="C95" s="78" t="s">
        <v>339</v>
      </c>
      <c r="D95" s="24" t="s">
        <v>28</v>
      </c>
      <c r="E95" s="115" t="s">
        <v>186</v>
      </c>
      <c r="F95" s="115" t="s">
        <v>186</v>
      </c>
      <c r="G95" s="35" t="s">
        <v>433</v>
      </c>
      <c r="H95" s="77" t="s">
        <v>201</v>
      </c>
      <c r="I95" s="35" t="s">
        <v>202</v>
      </c>
      <c r="J95" s="35" t="s">
        <v>204</v>
      </c>
      <c r="K95" s="35">
        <v>11</v>
      </c>
      <c r="L95" s="35" t="s">
        <v>205</v>
      </c>
      <c r="M95" s="35">
        <v>0</v>
      </c>
      <c r="N95" s="35" t="s">
        <v>25</v>
      </c>
      <c r="O95" s="35" t="s">
        <v>405</v>
      </c>
      <c r="P95" s="155">
        <v>15000000</v>
      </c>
      <c r="Q95" s="116">
        <v>0</v>
      </c>
      <c r="R95" s="116">
        <v>0</v>
      </c>
      <c r="S95" s="116" t="s">
        <v>331</v>
      </c>
      <c r="T95" s="116" t="s">
        <v>332</v>
      </c>
      <c r="U95" s="77" t="s">
        <v>143</v>
      </c>
      <c r="V95" s="77">
        <v>3846666</v>
      </c>
      <c r="W95" s="35" t="s">
        <v>144</v>
      </c>
      <c r="X95" s="35" t="s">
        <v>203</v>
      </c>
      <c r="Y95" s="117" t="s">
        <v>185</v>
      </c>
      <c r="Z95" s="117"/>
      <c r="AA95" s="117"/>
      <c r="AB95" s="117"/>
      <c r="AC95" s="157">
        <f t="shared" si="39"/>
        <v>15000000</v>
      </c>
      <c r="AD95" s="203">
        <v>1223</v>
      </c>
      <c r="AE95" s="204">
        <f>11960000-11960000</f>
        <v>0</v>
      </c>
      <c r="AF95" s="224">
        <f t="shared" si="37"/>
        <v>15000000</v>
      </c>
      <c r="AG95" s="265"/>
      <c r="AH95" s="265"/>
      <c r="AI95" s="314"/>
      <c r="AJ95" s="258">
        <f t="shared" si="38"/>
        <v>15000000</v>
      </c>
      <c r="AK95" s="265"/>
      <c r="AL95" s="265"/>
      <c r="AM95" s="305"/>
      <c r="AN95" s="12"/>
    </row>
    <row r="96" spans="1:40" ht="110.25" customHeight="1" x14ac:dyDescent="0.2">
      <c r="A96" s="20" t="s">
        <v>334</v>
      </c>
      <c r="B96" s="76" t="s">
        <v>192</v>
      </c>
      <c r="C96" s="78" t="s">
        <v>339</v>
      </c>
      <c r="D96" s="24" t="s">
        <v>28</v>
      </c>
      <c r="E96" s="115" t="s">
        <v>163</v>
      </c>
      <c r="F96" s="115" t="s">
        <v>163</v>
      </c>
      <c r="G96" s="35" t="s">
        <v>433</v>
      </c>
      <c r="H96" s="77" t="s">
        <v>514</v>
      </c>
      <c r="I96" s="35">
        <v>81112200</v>
      </c>
      <c r="J96" s="35" t="s">
        <v>483</v>
      </c>
      <c r="K96" s="35" t="s">
        <v>483</v>
      </c>
      <c r="L96" s="35" t="s">
        <v>497</v>
      </c>
      <c r="M96" s="35">
        <v>1</v>
      </c>
      <c r="N96" s="35" t="s">
        <v>25</v>
      </c>
      <c r="O96" s="35" t="s">
        <v>330</v>
      </c>
      <c r="P96" s="156">
        <f>(2400000*11)*1.06</f>
        <v>27984000</v>
      </c>
      <c r="Q96" s="116">
        <v>0</v>
      </c>
      <c r="R96" s="116">
        <v>0</v>
      </c>
      <c r="S96" s="116" t="s">
        <v>331</v>
      </c>
      <c r="T96" s="116" t="s">
        <v>332</v>
      </c>
      <c r="U96" s="77" t="s">
        <v>143</v>
      </c>
      <c r="V96" s="77">
        <v>3846666</v>
      </c>
      <c r="W96" s="35" t="s">
        <v>144</v>
      </c>
      <c r="X96" s="117" t="s">
        <v>524</v>
      </c>
      <c r="Y96" s="117" t="s">
        <v>145</v>
      </c>
      <c r="Z96" s="35"/>
      <c r="AA96" s="117"/>
      <c r="AB96" s="157">
        <v>5088000</v>
      </c>
      <c r="AC96" s="157">
        <f t="shared" si="39"/>
        <v>22896000</v>
      </c>
      <c r="AD96" s="203">
        <v>3423</v>
      </c>
      <c r="AE96" s="204">
        <f>10176000-2968000</f>
        <v>7208000</v>
      </c>
      <c r="AF96" s="224">
        <f t="shared" si="37"/>
        <v>15688000</v>
      </c>
      <c r="AG96" s="263">
        <v>6523</v>
      </c>
      <c r="AH96" s="266">
        <v>44988</v>
      </c>
      <c r="AI96" s="315">
        <v>7208000</v>
      </c>
      <c r="AJ96" s="262">
        <f t="shared" si="38"/>
        <v>15688000</v>
      </c>
      <c r="AK96" s="263" t="s">
        <v>551</v>
      </c>
      <c r="AL96" s="267" t="s">
        <v>552</v>
      </c>
      <c r="AM96" s="319">
        <f>2120000+2544000+2544000</f>
        <v>7208000</v>
      </c>
      <c r="AN96" s="13" t="s">
        <v>441</v>
      </c>
    </row>
    <row r="97" spans="1:40" ht="110.25" customHeight="1" x14ac:dyDescent="0.2">
      <c r="A97" s="20" t="s">
        <v>334</v>
      </c>
      <c r="B97" s="76" t="s">
        <v>192</v>
      </c>
      <c r="C97" s="78" t="s">
        <v>339</v>
      </c>
      <c r="D97" s="24" t="s">
        <v>28</v>
      </c>
      <c r="E97" s="115" t="s">
        <v>163</v>
      </c>
      <c r="F97" s="115" t="s">
        <v>163</v>
      </c>
      <c r="G97" s="35" t="s">
        <v>433</v>
      </c>
      <c r="H97" s="77" t="s">
        <v>146</v>
      </c>
      <c r="I97" s="35">
        <v>81112200</v>
      </c>
      <c r="J97" s="35" t="s">
        <v>483</v>
      </c>
      <c r="K97" s="35" t="s">
        <v>483</v>
      </c>
      <c r="L97" s="35" t="s">
        <v>497</v>
      </c>
      <c r="M97" s="35">
        <v>1</v>
      </c>
      <c r="N97" s="35" t="s">
        <v>25</v>
      </c>
      <c r="O97" s="35" t="s">
        <v>330</v>
      </c>
      <c r="P97" s="156">
        <f>(2400000*11)*1.06</f>
        <v>27984000</v>
      </c>
      <c r="Q97" s="116">
        <v>0</v>
      </c>
      <c r="R97" s="116">
        <v>0</v>
      </c>
      <c r="S97" s="116" t="s">
        <v>331</v>
      </c>
      <c r="T97" s="116" t="s">
        <v>332</v>
      </c>
      <c r="U97" s="77" t="s">
        <v>143</v>
      </c>
      <c r="V97" s="77">
        <v>3846666</v>
      </c>
      <c r="W97" s="35" t="s">
        <v>144</v>
      </c>
      <c r="X97" s="117" t="s">
        <v>524</v>
      </c>
      <c r="Y97" s="117" t="s">
        <v>143</v>
      </c>
      <c r="Z97" s="35"/>
      <c r="AA97" s="117"/>
      <c r="AB97" s="157">
        <v>3127000</v>
      </c>
      <c r="AC97" s="157">
        <f t="shared" si="39"/>
        <v>24857000</v>
      </c>
      <c r="AD97" s="203">
        <v>3523</v>
      </c>
      <c r="AE97" s="204">
        <f>10176000-4324800</f>
        <v>5851200</v>
      </c>
      <c r="AF97" s="224">
        <f t="shared" si="37"/>
        <v>19005800</v>
      </c>
      <c r="AG97" s="263">
        <v>8123</v>
      </c>
      <c r="AH97" s="266">
        <v>45007</v>
      </c>
      <c r="AI97" s="268">
        <v>5851200</v>
      </c>
      <c r="AJ97" s="262">
        <f t="shared" si="38"/>
        <v>19005800</v>
      </c>
      <c r="AK97" s="263" t="s">
        <v>555</v>
      </c>
      <c r="AL97" s="263" t="s">
        <v>556</v>
      </c>
      <c r="AM97" s="382">
        <v>763200</v>
      </c>
      <c r="AN97" s="13" t="s">
        <v>441</v>
      </c>
    </row>
    <row r="98" spans="1:40" ht="110.25" customHeight="1" x14ac:dyDescent="0.2">
      <c r="A98" s="20" t="s">
        <v>334</v>
      </c>
      <c r="B98" s="76" t="s">
        <v>192</v>
      </c>
      <c r="C98" s="78" t="s">
        <v>339</v>
      </c>
      <c r="D98" s="24" t="s">
        <v>28</v>
      </c>
      <c r="E98" s="115" t="s">
        <v>163</v>
      </c>
      <c r="F98" s="115" t="s">
        <v>163</v>
      </c>
      <c r="G98" s="35" t="s">
        <v>433</v>
      </c>
      <c r="H98" s="77" t="s">
        <v>147</v>
      </c>
      <c r="I98" s="35">
        <v>81112200</v>
      </c>
      <c r="J98" s="35">
        <v>1</v>
      </c>
      <c r="K98" s="35">
        <v>1</v>
      </c>
      <c r="L98" s="35">
        <v>11</v>
      </c>
      <c r="M98" s="35">
        <v>1</v>
      </c>
      <c r="N98" s="35" t="s">
        <v>24</v>
      </c>
      <c r="O98" s="35" t="s">
        <v>330</v>
      </c>
      <c r="P98" s="156">
        <v>1500000</v>
      </c>
      <c r="Q98" s="116">
        <v>0</v>
      </c>
      <c r="R98" s="116">
        <v>0</v>
      </c>
      <c r="S98" s="116" t="s">
        <v>331</v>
      </c>
      <c r="T98" s="116" t="s">
        <v>332</v>
      </c>
      <c r="U98" s="77" t="s">
        <v>143</v>
      </c>
      <c r="V98" s="77">
        <v>3846666</v>
      </c>
      <c r="W98" s="35" t="s">
        <v>144</v>
      </c>
      <c r="X98" s="117" t="s">
        <v>26</v>
      </c>
      <c r="Y98" s="117" t="s">
        <v>456</v>
      </c>
      <c r="Z98" s="35"/>
      <c r="AA98" s="117"/>
      <c r="AB98" s="117"/>
      <c r="AC98" s="157">
        <f t="shared" si="39"/>
        <v>1500000</v>
      </c>
      <c r="AD98" s="231">
        <v>6823</v>
      </c>
      <c r="AE98" s="232">
        <f>1241666-41666</f>
        <v>1200000</v>
      </c>
      <c r="AF98" s="232">
        <f t="shared" si="37"/>
        <v>300000</v>
      </c>
      <c r="AG98" s="263">
        <v>7323</v>
      </c>
      <c r="AH98" s="266">
        <v>45000</v>
      </c>
      <c r="AI98" s="268">
        <v>1200000</v>
      </c>
      <c r="AJ98" s="262">
        <f t="shared" si="38"/>
        <v>300000</v>
      </c>
      <c r="AK98" s="263" t="s">
        <v>553</v>
      </c>
      <c r="AL98" s="263" t="s">
        <v>554</v>
      </c>
      <c r="AM98" s="382">
        <v>1200000</v>
      </c>
      <c r="AN98" s="13"/>
    </row>
    <row r="99" spans="1:40" ht="110.25" customHeight="1" x14ac:dyDescent="0.2">
      <c r="A99" s="20" t="s">
        <v>334</v>
      </c>
      <c r="B99" s="76" t="s">
        <v>192</v>
      </c>
      <c r="C99" s="78" t="s">
        <v>339</v>
      </c>
      <c r="D99" s="24" t="s">
        <v>28</v>
      </c>
      <c r="E99" s="115" t="s">
        <v>163</v>
      </c>
      <c r="F99" s="115" t="s">
        <v>163</v>
      </c>
      <c r="G99" s="35" t="s">
        <v>433</v>
      </c>
      <c r="H99" s="77" t="s">
        <v>148</v>
      </c>
      <c r="I99" s="35">
        <v>43231513</v>
      </c>
      <c r="J99" s="35">
        <v>4</v>
      </c>
      <c r="K99" s="35">
        <v>4</v>
      </c>
      <c r="L99" s="35">
        <v>1</v>
      </c>
      <c r="M99" s="35">
        <v>1</v>
      </c>
      <c r="N99" s="35" t="s">
        <v>149</v>
      </c>
      <c r="O99" s="35" t="s">
        <v>330</v>
      </c>
      <c r="P99" s="156">
        <v>54000000</v>
      </c>
      <c r="Q99" s="116">
        <v>0</v>
      </c>
      <c r="R99" s="116">
        <v>0</v>
      </c>
      <c r="S99" s="116" t="s">
        <v>331</v>
      </c>
      <c r="T99" s="116" t="s">
        <v>332</v>
      </c>
      <c r="U99" s="77" t="s">
        <v>143</v>
      </c>
      <c r="V99" s="77">
        <v>3846666</v>
      </c>
      <c r="W99" s="35" t="s">
        <v>144</v>
      </c>
      <c r="X99" s="117" t="s">
        <v>150</v>
      </c>
      <c r="Y99" s="117" t="s">
        <v>143</v>
      </c>
      <c r="Z99" s="35"/>
      <c r="AA99" s="117"/>
      <c r="AB99" s="157">
        <v>7799789</v>
      </c>
      <c r="AC99" s="157">
        <f t="shared" si="39"/>
        <v>46200211</v>
      </c>
      <c r="AD99" s="243"/>
      <c r="AE99" s="251"/>
      <c r="AF99" s="242">
        <f t="shared" si="37"/>
        <v>46200211</v>
      </c>
      <c r="AG99" s="265"/>
      <c r="AH99" s="265"/>
      <c r="AI99" s="314"/>
      <c r="AJ99" s="258">
        <f t="shared" si="38"/>
        <v>46200211</v>
      </c>
      <c r="AK99" s="265"/>
      <c r="AL99" s="265"/>
      <c r="AM99" s="305"/>
      <c r="AN99" s="243" t="s">
        <v>441</v>
      </c>
    </row>
    <row r="100" spans="1:40" ht="110.25" customHeight="1" x14ac:dyDescent="0.2">
      <c r="A100" s="20" t="s">
        <v>334</v>
      </c>
      <c r="B100" s="76" t="s">
        <v>192</v>
      </c>
      <c r="C100" s="78" t="s">
        <v>339</v>
      </c>
      <c r="D100" s="24" t="s">
        <v>28</v>
      </c>
      <c r="E100" s="115" t="s">
        <v>163</v>
      </c>
      <c r="F100" s="115" t="s">
        <v>163</v>
      </c>
      <c r="G100" s="35" t="s">
        <v>433</v>
      </c>
      <c r="H100" s="77" t="s">
        <v>151</v>
      </c>
      <c r="I100" s="35">
        <v>81112501</v>
      </c>
      <c r="J100" s="35">
        <v>6</v>
      </c>
      <c r="K100" s="35">
        <v>6</v>
      </c>
      <c r="L100" s="35">
        <v>1</v>
      </c>
      <c r="M100" s="35">
        <v>1</v>
      </c>
      <c r="N100" s="35" t="s">
        <v>24</v>
      </c>
      <c r="O100" s="35" t="s">
        <v>330</v>
      </c>
      <c r="P100" s="156">
        <v>25000000</v>
      </c>
      <c r="Q100" s="116">
        <v>0</v>
      </c>
      <c r="R100" s="116">
        <v>0</v>
      </c>
      <c r="S100" s="116" t="s">
        <v>331</v>
      </c>
      <c r="T100" s="116" t="s">
        <v>332</v>
      </c>
      <c r="U100" s="77" t="s">
        <v>143</v>
      </c>
      <c r="V100" s="77">
        <v>3846666</v>
      </c>
      <c r="W100" s="35" t="s">
        <v>144</v>
      </c>
      <c r="X100" s="117" t="s">
        <v>150</v>
      </c>
      <c r="Y100" s="117" t="s">
        <v>143</v>
      </c>
      <c r="Z100" s="35"/>
      <c r="AA100" s="117"/>
      <c r="AB100" s="117"/>
      <c r="AC100" s="157">
        <f t="shared" si="39"/>
        <v>25000000</v>
      </c>
      <c r="AD100" s="243"/>
      <c r="AE100" s="251"/>
      <c r="AF100" s="242">
        <f t="shared" si="37"/>
        <v>25000000</v>
      </c>
      <c r="AG100" s="265"/>
      <c r="AH100" s="265"/>
      <c r="AI100" s="314"/>
      <c r="AJ100" s="258">
        <f t="shared" si="38"/>
        <v>25000000</v>
      </c>
      <c r="AK100" s="265"/>
      <c r="AL100" s="265"/>
      <c r="AM100" s="305"/>
      <c r="AN100" s="245"/>
    </row>
    <row r="101" spans="1:40" ht="110.25" customHeight="1" x14ac:dyDescent="0.2">
      <c r="A101" s="20" t="s">
        <v>334</v>
      </c>
      <c r="B101" s="76" t="s">
        <v>192</v>
      </c>
      <c r="C101" s="78" t="s">
        <v>339</v>
      </c>
      <c r="D101" s="24" t="s">
        <v>28</v>
      </c>
      <c r="E101" s="115" t="s">
        <v>163</v>
      </c>
      <c r="F101" s="115" t="s">
        <v>163</v>
      </c>
      <c r="G101" s="35" t="s">
        <v>433</v>
      </c>
      <c r="H101" s="77" t="s">
        <v>153</v>
      </c>
      <c r="I101" s="35">
        <v>81112215</v>
      </c>
      <c r="J101" s="35">
        <v>1</v>
      </c>
      <c r="K101" s="35">
        <v>1</v>
      </c>
      <c r="L101" s="35">
        <v>11</v>
      </c>
      <c r="M101" s="35">
        <v>1</v>
      </c>
      <c r="N101" s="35" t="s">
        <v>25</v>
      </c>
      <c r="O101" s="35" t="s">
        <v>330</v>
      </c>
      <c r="P101" s="156">
        <f>(2950000*11)*1.06</f>
        <v>34397000</v>
      </c>
      <c r="Q101" s="116">
        <v>0</v>
      </c>
      <c r="R101" s="116">
        <v>0</v>
      </c>
      <c r="S101" s="116" t="s">
        <v>331</v>
      </c>
      <c r="T101" s="116" t="s">
        <v>332</v>
      </c>
      <c r="U101" s="77" t="s">
        <v>143</v>
      </c>
      <c r="V101" s="77">
        <v>3846666</v>
      </c>
      <c r="W101" s="35" t="s">
        <v>144</v>
      </c>
      <c r="X101" s="117" t="s">
        <v>26</v>
      </c>
      <c r="Y101" s="117" t="s">
        <v>143</v>
      </c>
      <c r="Z101" s="35"/>
      <c r="AA101" s="117"/>
      <c r="AB101" s="117"/>
      <c r="AC101" s="157">
        <f t="shared" si="39"/>
        <v>34397000</v>
      </c>
      <c r="AD101" s="203">
        <v>3623</v>
      </c>
      <c r="AE101" s="204">
        <f>12508000-3231233</f>
        <v>9276767</v>
      </c>
      <c r="AF101" s="224">
        <f t="shared" si="37"/>
        <v>25120233</v>
      </c>
      <c r="AG101" s="263">
        <v>6323</v>
      </c>
      <c r="AH101" s="266">
        <v>44987</v>
      </c>
      <c r="AI101" s="268">
        <v>9276767</v>
      </c>
      <c r="AJ101" s="262">
        <f t="shared" si="38"/>
        <v>25120233</v>
      </c>
      <c r="AK101" s="263" t="s">
        <v>549</v>
      </c>
      <c r="AL101" s="274" t="s">
        <v>550</v>
      </c>
      <c r="AM101" s="319">
        <f>3022767+3127000+3127000</f>
        <v>9276767</v>
      </c>
      <c r="AN101" s="12"/>
    </row>
    <row r="102" spans="1:40" ht="110.25" customHeight="1" x14ac:dyDescent="0.2">
      <c r="A102" s="20" t="s">
        <v>334</v>
      </c>
      <c r="B102" s="76" t="s">
        <v>192</v>
      </c>
      <c r="C102" s="78" t="s">
        <v>339</v>
      </c>
      <c r="D102" s="24" t="s">
        <v>28</v>
      </c>
      <c r="E102" s="115" t="s">
        <v>163</v>
      </c>
      <c r="F102" s="115" t="s">
        <v>163</v>
      </c>
      <c r="G102" s="35" t="s">
        <v>433</v>
      </c>
      <c r="H102" s="77" t="s">
        <v>155</v>
      </c>
      <c r="I102" s="35">
        <v>81111812</v>
      </c>
      <c r="J102" s="35">
        <v>6</v>
      </c>
      <c r="K102" s="35">
        <v>6</v>
      </c>
      <c r="L102" s="35">
        <v>6</v>
      </c>
      <c r="M102" s="35">
        <v>1</v>
      </c>
      <c r="N102" s="35" t="s">
        <v>24</v>
      </c>
      <c r="O102" s="35" t="s">
        <v>330</v>
      </c>
      <c r="P102" s="156">
        <v>715176</v>
      </c>
      <c r="Q102" s="116">
        <v>0</v>
      </c>
      <c r="R102" s="116">
        <v>0</v>
      </c>
      <c r="S102" s="116" t="s">
        <v>331</v>
      </c>
      <c r="T102" s="116" t="s">
        <v>332</v>
      </c>
      <c r="U102" s="77" t="s">
        <v>143</v>
      </c>
      <c r="V102" s="77">
        <v>3846666</v>
      </c>
      <c r="W102" s="35" t="s">
        <v>144</v>
      </c>
      <c r="X102" s="117" t="s">
        <v>26</v>
      </c>
      <c r="Y102" s="117" t="s">
        <v>143</v>
      </c>
      <c r="Z102" s="35"/>
      <c r="AA102" s="117"/>
      <c r="AB102" s="117"/>
      <c r="AC102" s="157">
        <f t="shared" si="39"/>
        <v>715176</v>
      </c>
      <c r="AD102" s="203">
        <v>15923</v>
      </c>
      <c r="AE102" s="204">
        <v>715176</v>
      </c>
      <c r="AF102" s="224">
        <f t="shared" si="37"/>
        <v>0</v>
      </c>
      <c r="AG102" s="265"/>
      <c r="AH102" s="265"/>
      <c r="AI102" s="314"/>
      <c r="AJ102" s="258">
        <f t="shared" si="38"/>
        <v>715176</v>
      </c>
      <c r="AK102" s="265"/>
      <c r="AL102" s="265"/>
      <c r="AM102" s="305"/>
      <c r="AN102" s="245"/>
    </row>
    <row r="103" spans="1:40" ht="110.25" customHeight="1" x14ac:dyDescent="0.2">
      <c r="A103" s="20" t="s">
        <v>334</v>
      </c>
      <c r="B103" s="76" t="s">
        <v>192</v>
      </c>
      <c r="C103" s="78" t="s">
        <v>339</v>
      </c>
      <c r="D103" s="24" t="s">
        <v>28</v>
      </c>
      <c r="E103" s="115" t="s">
        <v>163</v>
      </c>
      <c r="F103" s="115" t="s">
        <v>163</v>
      </c>
      <c r="G103" s="35" t="s">
        <v>433</v>
      </c>
      <c r="H103" s="77" t="s">
        <v>155</v>
      </c>
      <c r="I103" s="35">
        <v>81111812</v>
      </c>
      <c r="J103" s="35">
        <v>6</v>
      </c>
      <c r="K103" s="35">
        <v>6</v>
      </c>
      <c r="L103" s="35">
        <v>6</v>
      </c>
      <c r="M103" s="35">
        <v>1</v>
      </c>
      <c r="N103" s="35" t="s">
        <v>24</v>
      </c>
      <c r="O103" s="35" t="s">
        <v>405</v>
      </c>
      <c r="P103" s="156">
        <v>3284824</v>
      </c>
      <c r="Q103" s="116">
        <v>0</v>
      </c>
      <c r="R103" s="116">
        <v>0</v>
      </c>
      <c r="S103" s="116" t="s">
        <v>331</v>
      </c>
      <c r="T103" s="116" t="s">
        <v>332</v>
      </c>
      <c r="U103" s="77" t="s">
        <v>143</v>
      </c>
      <c r="V103" s="77">
        <v>3846666</v>
      </c>
      <c r="W103" s="35" t="s">
        <v>144</v>
      </c>
      <c r="X103" s="117" t="s">
        <v>26</v>
      </c>
      <c r="Y103" s="117" t="s">
        <v>143</v>
      </c>
      <c r="Z103" s="35"/>
      <c r="AA103" s="117"/>
      <c r="AB103" s="117"/>
      <c r="AC103" s="157">
        <f t="shared" si="39"/>
        <v>3284824</v>
      </c>
      <c r="AD103" s="203">
        <v>15923</v>
      </c>
      <c r="AE103" s="204">
        <v>3284824</v>
      </c>
      <c r="AF103" s="224">
        <f t="shared" si="37"/>
        <v>0</v>
      </c>
      <c r="AG103" s="265"/>
      <c r="AH103" s="265"/>
      <c r="AI103" s="314"/>
      <c r="AJ103" s="258">
        <f t="shared" si="38"/>
        <v>3284824</v>
      </c>
      <c r="AK103" s="265"/>
      <c r="AL103" s="265"/>
      <c r="AM103" s="305"/>
      <c r="AN103" s="245"/>
    </row>
    <row r="104" spans="1:40" ht="110.25" customHeight="1" x14ac:dyDescent="0.2">
      <c r="A104" s="20" t="s">
        <v>334</v>
      </c>
      <c r="B104" s="76" t="s">
        <v>192</v>
      </c>
      <c r="C104" s="78" t="s">
        <v>339</v>
      </c>
      <c r="D104" s="24" t="s">
        <v>28</v>
      </c>
      <c r="E104" s="115" t="s">
        <v>163</v>
      </c>
      <c r="F104" s="115" t="s">
        <v>163</v>
      </c>
      <c r="G104" s="35" t="s">
        <v>433</v>
      </c>
      <c r="H104" s="77" t="s">
        <v>157</v>
      </c>
      <c r="I104" s="35" t="s">
        <v>158</v>
      </c>
      <c r="J104" s="35">
        <v>5</v>
      </c>
      <c r="K104" s="35">
        <v>5</v>
      </c>
      <c r="L104" s="35">
        <v>7</v>
      </c>
      <c r="M104" s="35">
        <v>1</v>
      </c>
      <c r="N104" s="35" t="s">
        <v>24</v>
      </c>
      <c r="O104" s="35" t="s">
        <v>405</v>
      </c>
      <c r="P104" s="156">
        <v>5000000</v>
      </c>
      <c r="Q104" s="116">
        <v>0</v>
      </c>
      <c r="R104" s="116">
        <v>0</v>
      </c>
      <c r="S104" s="116" t="s">
        <v>331</v>
      </c>
      <c r="T104" s="116" t="s">
        <v>332</v>
      </c>
      <c r="U104" s="77" t="s">
        <v>143</v>
      </c>
      <c r="V104" s="77">
        <v>3846666</v>
      </c>
      <c r="W104" s="35" t="s">
        <v>144</v>
      </c>
      <c r="X104" s="117" t="s">
        <v>26</v>
      </c>
      <c r="Y104" s="117" t="s">
        <v>143</v>
      </c>
      <c r="Z104" s="35"/>
      <c r="AA104" s="117"/>
      <c r="AB104" s="117"/>
      <c r="AC104" s="157">
        <f t="shared" si="39"/>
        <v>5000000</v>
      </c>
      <c r="AD104" s="203">
        <v>13023</v>
      </c>
      <c r="AE104" s="204">
        <v>5000000</v>
      </c>
      <c r="AF104" s="224">
        <f t="shared" si="37"/>
        <v>0</v>
      </c>
      <c r="AG104" s="263">
        <v>17823</v>
      </c>
      <c r="AH104" s="266">
        <v>45078</v>
      </c>
      <c r="AI104" s="268">
        <v>5000000</v>
      </c>
      <c r="AJ104" s="262">
        <f t="shared" si="38"/>
        <v>0</v>
      </c>
      <c r="AK104" s="263" t="s">
        <v>703</v>
      </c>
      <c r="AL104" s="263" t="s">
        <v>704</v>
      </c>
      <c r="AM104" s="305"/>
      <c r="AN104" s="245"/>
    </row>
    <row r="105" spans="1:40" ht="110.25" customHeight="1" x14ac:dyDescent="0.2">
      <c r="A105" s="20" t="s">
        <v>334</v>
      </c>
      <c r="B105" s="76" t="s">
        <v>192</v>
      </c>
      <c r="C105" s="78" t="s">
        <v>339</v>
      </c>
      <c r="D105" s="24" t="s">
        <v>28</v>
      </c>
      <c r="E105" s="115" t="s">
        <v>163</v>
      </c>
      <c r="F105" s="115" t="s">
        <v>163</v>
      </c>
      <c r="G105" s="35" t="s">
        <v>433</v>
      </c>
      <c r="H105" s="77" t="s">
        <v>159</v>
      </c>
      <c r="I105" s="35">
        <v>43233205</v>
      </c>
      <c r="J105" s="35">
        <v>6</v>
      </c>
      <c r="K105" s="35">
        <v>6</v>
      </c>
      <c r="L105" s="35">
        <v>1</v>
      </c>
      <c r="M105" s="35">
        <v>1</v>
      </c>
      <c r="N105" s="35" t="s">
        <v>24</v>
      </c>
      <c r="O105" s="35" t="s">
        <v>330</v>
      </c>
      <c r="P105" s="156">
        <f>14000000</f>
        <v>14000000</v>
      </c>
      <c r="Q105" s="116">
        <v>0</v>
      </c>
      <c r="R105" s="116">
        <v>0</v>
      </c>
      <c r="S105" s="116" t="s">
        <v>331</v>
      </c>
      <c r="T105" s="116" t="s">
        <v>332</v>
      </c>
      <c r="U105" s="77" t="s">
        <v>143</v>
      </c>
      <c r="V105" s="77">
        <v>3846666</v>
      </c>
      <c r="W105" s="35" t="s">
        <v>144</v>
      </c>
      <c r="X105" s="117" t="s">
        <v>154</v>
      </c>
      <c r="Y105" s="117" t="s">
        <v>143</v>
      </c>
      <c r="Z105" s="35"/>
      <c r="AA105" s="117"/>
      <c r="AB105" s="117"/>
      <c r="AC105" s="157">
        <f t="shared" si="39"/>
        <v>14000000</v>
      </c>
      <c r="AD105" s="243"/>
      <c r="AE105" s="251"/>
      <c r="AF105" s="242">
        <f t="shared" si="37"/>
        <v>14000000</v>
      </c>
      <c r="AG105" s="265"/>
      <c r="AH105" s="265"/>
      <c r="AI105" s="314"/>
      <c r="AJ105" s="258">
        <f t="shared" si="38"/>
        <v>14000000</v>
      </c>
      <c r="AK105" s="265"/>
      <c r="AL105" s="265"/>
      <c r="AM105" s="305"/>
      <c r="AN105" s="245"/>
    </row>
    <row r="106" spans="1:40" ht="110.25" customHeight="1" x14ac:dyDescent="0.2">
      <c r="A106" s="20" t="s">
        <v>334</v>
      </c>
      <c r="B106" s="76" t="s">
        <v>192</v>
      </c>
      <c r="C106" s="78" t="s">
        <v>339</v>
      </c>
      <c r="D106" s="24" t="s">
        <v>28</v>
      </c>
      <c r="E106" s="115" t="s">
        <v>163</v>
      </c>
      <c r="F106" s="115" t="s">
        <v>163</v>
      </c>
      <c r="G106" s="35" t="s">
        <v>433</v>
      </c>
      <c r="H106" s="77" t="s">
        <v>152</v>
      </c>
      <c r="I106" s="35">
        <v>81112100</v>
      </c>
      <c r="J106" s="90">
        <v>1</v>
      </c>
      <c r="K106" s="90">
        <v>2</v>
      </c>
      <c r="L106" s="90">
        <v>10</v>
      </c>
      <c r="M106" s="90">
        <v>1</v>
      </c>
      <c r="N106" s="35" t="s">
        <v>86</v>
      </c>
      <c r="O106" s="77" t="s">
        <v>330</v>
      </c>
      <c r="P106" s="156">
        <v>45000000</v>
      </c>
      <c r="Q106" s="116">
        <v>0</v>
      </c>
      <c r="R106" s="116">
        <v>0</v>
      </c>
      <c r="S106" s="116" t="s">
        <v>331</v>
      </c>
      <c r="T106" s="116" t="s">
        <v>332</v>
      </c>
      <c r="U106" s="77" t="s">
        <v>143</v>
      </c>
      <c r="V106" s="77">
        <v>3846666</v>
      </c>
      <c r="W106" s="35" t="s">
        <v>144</v>
      </c>
      <c r="X106" s="117" t="s">
        <v>26</v>
      </c>
      <c r="Y106" s="117" t="s">
        <v>143</v>
      </c>
      <c r="Z106" s="77"/>
      <c r="AA106" s="157">
        <v>16014789</v>
      </c>
      <c r="AB106" s="117"/>
      <c r="AC106" s="157">
        <f t="shared" si="39"/>
        <v>61014789</v>
      </c>
      <c r="AD106" s="203">
        <v>6423</v>
      </c>
      <c r="AE106" s="204">
        <v>61014789</v>
      </c>
      <c r="AF106" s="224">
        <f t="shared" si="37"/>
        <v>0</v>
      </c>
      <c r="AG106" s="263">
        <v>6023</v>
      </c>
      <c r="AH106" s="266">
        <v>44986</v>
      </c>
      <c r="AI106" s="268">
        <v>61014789</v>
      </c>
      <c r="AJ106" s="262">
        <f t="shared" si="38"/>
        <v>0</v>
      </c>
      <c r="AK106" s="267" t="s">
        <v>523</v>
      </c>
      <c r="AL106" s="263" t="s">
        <v>469</v>
      </c>
      <c r="AM106" s="382">
        <f>5546799+1905938+5546799</f>
        <v>12999536</v>
      </c>
      <c r="AN106" s="13" t="s">
        <v>441</v>
      </c>
    </row>
    <row r="107" spans="1:40" ht="140.25" customHeight="1" x14ac:dyDescent="0.2">
      <c r="A107" s="20" t="s">
        <v>334</v>
      </c>
      <c r="B107" s="76" t="s">
        <v>192</v>
      </c>
      <c r="C107" s="78" t="s">
        <v>339</v>
      </c>
      <c r="D107" s="24" t="s">
        <v>28</v>
      </c>
      <c r="E107" s="115" t="s">
        <v>163</v>
      </c>
      <c r="F107" s="115" t="s">
        <v>163</v>
      </c>
      <c r="G107" s="35" t="s">
        <v>433</v>
      </c>
      <c r="H107" s="77" t="s">
        <v>485</v>
      </c>
      <c r="I107" s="35">
        <v>81112200</v>
      </c>
      <c r="J107" s="35">
        <v>5</v>
      </c>
      <c r="K107" s="35">
        <v>5</v>
      </c>
      <c r="L107" s="35" t="s">
        <v>487</v>
      </c>
      <c r="M107" s="35">
        <v>1</v>
      </c>
      <c r="N107" s="35" t="s">
        <v>86</v>
      </c>
      <c r="O107" s="35" t="s">
        <v>330</v>
      </c>
      <c r="P107" s="156">
        <f>13000000*1.1</f>
        <v>14300000.000000002</v>
      </c>
      <c r="Q107" s="116">
        <v>0</v>
      </c>
      <c r="R107" s="116">
        <v>0</v>
      </c>
      <c r="S107" s="116" t="s">
        <v>331</v>
      </c>
      <c r="T107" s="116" t="s">
        <v>332</v>
      </c>
      <c r="U107" s="77" t="s">
        <v>143</v>
      </c>
      <c r="V107" s="77">
        <v>3846666</v>
      </c>
      <c r="W107" s="35" t="s">
        <v>144</v>
      </c>
      <c r="X107" s="117" t="s">
        <v>26</v>
      </c>
      <c r="Y107" s="117" t="s">
        <v>156</v>
      </c>
      <c r="Z107" s="35"/>
      <c r="AA107" s="117"/>
      <c r="AB107" s="117"/>
      <c r="AC107" s="157">
        <f t="shared" si="39"/>
        <v>14300000.000000002</v>
      </c>
      <c r="AD107" s="203">
        <v>5023</v>
      </c>
      <c r="AE107" s="204">
        <f>14300000</f>
        <v>14300000</v>
      </c>
      <c r="AF107" s="224">
        <f t="shared" si="37"/>
        <v>0</v>
      </c>
      <c r="AG107" s="263">
        <v>12323</v>
      </c>
      <c r="AH107" s="266">
        <v>45036</v>
      </c>
      <c r="AI107" s="268">
        <v>14300000</v>
      </c>
      <c r="AJ107" s="262">
        <f t="shared" si="38"/>
        <v>0</v>
      </c>
      <c r="AK107" s="263" t="s">
        <v>584</v>
      </c>
      <c r="AL107" s="263" t="s">
        <v>585</v>
      </c>
      <c r="AM107" s="305"/>
      <c r="AN107" s="13" t="s">
        <v>441</v>
      </c>
    </row>
    <row r="108" spans="1:40" ht="110.25" customHeight="1" x14ac:dyDescent="0.2">
      <c r="A108" s="20" t="s">
        <v>334</v>
      </c>
      <c r="B108" s="76" t="s">
        <v>192</v>
      </c>
      <c r="C108" s="78" t="s">
        <v>339</v>
      </c>
      <c r="D108" s="24" t="s">
        <v>28</v>
      </c>
      <c r="E108" s="115" t="s">
        <v>163</v>
      </c>
      <c r="F108" s="115" t="s">
        <v>163</v>
      </c>
      <c r="G108" s="35" t="s">
        <v>433</v>
      </c>
      <c r="H108" s="77" t="s">
        <v>486</v>
      </c>
      <c r="I108" s="35">
        <v>81112200</v>
      </c>
      <c r="J108" s="35">
        <v>5</v>
      </c>
      <c r="K108" s="35">
        <v>5</v>
      </c>
      <c r="L108" s="35">
        <v>2</v>
      </c>
      <c r="M108" s="35">
        <v>1</v>
      </c>
      <c r="N108" s="35" t="s">
        <v>86</v>
      </c>
      <c r="O108" s="35" t="s">
        <v>405</v>
      </c>
      <c r="P108" s="156">
        <v>50000000</v>
      </c>
      <c r="Q108" s="116">
        <v>0</v>
      </c>
      <c r="R108" s="116">
        <v>0</v>
      </c>
      <c r="S108" s="116" t="s">
        <v>331</v>
      </c>
      <c r="T108" s="116" t="s">
        <v>332</v>
      </c>
      <c r="U108" s="77" t="s">
        <v>143</v>
      </c>
      <c r="V108" s="77">
        <v>3846666</v>
      </c>
      <c r="W108" s="35" t="s">
        <v>144</v>
      </c>
      <c r="X108" s="117" t="s">
        <v>26</v>
      </c>
      <c r="Y108" s="117" t="s">
        <v>156</v>
      </c>
      <c r="Z108" s="35"/>
      <c r="AA108" s="117"/>
      <c r="AB108" s="117"/>
      <c r="AC108" s="157">
        <f t="shared" si="39"/>
        <v>50000000</v>
      </c>
      <c r="AD108" s="203">
        <v>5023</v>
      </c>
      <c r="AE108" s="204">
        <f>50000000-4526995</f>
        <v>45473005</v>
      </c>
      <c r="AF108" s="224">
        <f t="shared" si="37"/>
        <v>4526995</v>
      </c>
      <c r="AG108" s="263">
        <v>12323</v>
      </c>
      <c r="AH108" s="266">
        <v>45036</v>
      </c>
      <c r="AI108" s="268">
        <v>45473005</v>
      </c>
      <c r="AJ108" s="262">
        <f t="shared" si="38"/>
        <v>4526995</v>
      </c>
      <c r="AK108" s="263" t="s">
        <v>584</v>
      </c>
      <c r="AL108" s="263" t="s">
        <v>585</v>
      </c>
      <c r="AM108" s="305"/>
      <c r="AN108" s="13" t="s">
        <v>441</v>
      </c>
    </row>
    <row r="109" spans="1:40" ht="110.25" customHeight="1" x14ac:dyDescent="0.2">
      <c r="A109" s="20" t="s">
        <v>334</v>
      </c>
      <c r="B109" s="76" t="s">
        <v>192</v>
      </c>
      <c r="C109" s="78" t="s">
        <v>339</v>
      </c>
      <c r="D109" s="24" t="s">
        <v>28</v>
      </c>
      <c r="E109" s="115" t="s">
        <v>163</v>
      </c>
      <c r="F109" s="115" t="s">
        <v>163</v>
      </c>
      <c r="G109" s="35" t="s">
        <v>433</v>
      </c>
      <c r="H109" s="77" t="s">
        <v>160</v>
      </c>
      <c r="I109" s="35">
        <v>81112200</v>
      </c>
      <c r="J109" s="35">
        <v>1</v>
      </c>
      <c r="K109" s="35">
        <v>1</v>
      </c>
      <c r="L109" s="35">
        <v>11</v>
      </c>
      <c r="M109" s="35">
        <v>1</v>
      </c>
      <c r="N109" s="35" t="s">
        <v>25</v>
      </c>
      <c r="O109" s="35" t="s">
        <v>330</v>
      </c>
      <c r="P109" s="156">
        <v>32000000</v>
      </c>
      <c r="Q109" s="116">
        <v>0</v>
      </c>
      <c r="R109" s="116">
        <v>0</v>
      </c>
      <c r="S109" s="116" t="s">
        <v>331</v>
      </c>
      <c r="T109" s="116" t="s">
        <v>332</v>
      </c>
      <c r="U109" s="77" t="s">
        <v>143</v>
      </c>
      <c r="V109" s="77">
        <v>3846666</v>
      </c>
      <c r="W109" s="35" t="s">
        <v>144</v>
      </c>
      <c r="X109" s="117" t="s">
        <v>26</v>
      </c>
      <c r="Y109" s="35" t="s">
        <v>156</v>
      </c>
      <c r="Z109" s="118"/>
      <c r="AA109" s="117"/>
      <c r="AB109" s="117"/>
      <c r="AC109" s="157">
        <f t="shared" si="39"/>
        <v>32000000</v>
      </c>
      <c r="AD109" s="203">
        <v>1023</v>
      </c>
      <c r="AE109" s="204">
        <v>31841425</v>
      </c>
      <c r="AF109" s="224">
        <f t="shared" si="37"/>
        <v>158575</v>
      </c>
      <c r="AG109" s="263">
        <v>1723</v>
      </c>
      <c r="AH109" s="266">
        <v>44946</v>
      </c>
      <c r="AI109" s="275">
        <v>31841425</v>
      </c>
      <c r="AJ109" s="262">
        <f t="shared" si="38"/>
        <v>158575</v>
      </c>
      <c r="AK109" s="263" t="s">
        <v>557</v>
      </c>
      <c r="AL109" s="267" t="s">
        <v>558</v>
      </c>
      <c r="AM109" s="320">
        <f>959933+2618000+2618000+2618000</f>
        <v>8813933</v>
      </c>
      <c r="AN109" s="12"/>
    </row>
    <row r="110" spans="1:40" ht="110.25" customHeight="1" x14ac:dyDescent="0.2">
      <c r="A110" s="20" t="s">
        <v>334</v>
      </c>
      <c r="B110" s="76" t="s">
        <v>192</v>
      </c>
      <c r="C110" s="78" t="s">
        <v>339</v>
      </c>
      <c r="D110" s="24" t="s">
        <v>28</v>
      </c>
      <c r="E110" s="115" t="s">
        <v>163</v>
      </c>
      <c r="F110" s="115" t="s">
        <v>163</v>
      </c>
      <c r="G110" s="35" t="s">
        <v>433</v>
      </c>
      <c r="H110" s="77" t="s">
        <v>161</v>
      </c>
      <c r="I110" s="35">
        <v>81112220</v>
      </c>
      <c r="J110" s="35">
        <v>5</v>
      </c>
      <c r="K110" s="35">
        <v>5</v>
      </c>
      <c r="L110" s="35">
        <v>7</v>
      </c>
      <c r="M110" s="35">
        <v>1</v>
      </c>
      <c r="N110" s="35" t="s">
        <v>24</v>
      </c>
      <c r="O110" s="35" t="s">
        <v>330</v>
      </c>
      <c r="P110" s="156">
        <v>5000000</v>
      </c>
      <c r="Q110" s="116">
        <v>0</v>
      </c>
      <c r="R110" s="116">
        <v>0</v>
      </c>
      <c r="S110" s="116" t="s">
        <v>331</v>
      </c>
      <c r="T110" s="116" t="s">
        <v>332</v>
      </c>
      <c r="U110" s="77" t="s">
        <v>143</v>
      </c>
      <c r="V110" s="77">
        <v>3846666</v>
      </c>
      <c r="W110" s="35" t="s">
        <v>144</v>
      </c>
      <c r="X110" s="117" t="s">
        <v>26</v>
      </c>
      <c r="Y110" s="117" t="s">
        <v>156</v>
      </c>
      <c r="Z110" s="35"/>
      <c r="AA110" s="117"/>
      <c r="AB110" s="117"/>
      <c r="AC110" s="157">
        <f t="shared" si="39"/>
        <v>5000000</v>
      </c>
      <c r="AD110" s="203">
        <v>14523</v>
      </c>
      <c r="AE110" s="204">
        <v>5000000</v>
      </c>
      <c r="AF110" s="224">
        <f t="shared" si="37"/>
        <v>0</v>
      </c>
      <c r="AG110" s="265"/>
      <c r="AH110" s="265"/>
      <c r="AI110" s="314"/>
      <c r="AJ110" s="258">
        <f t="shared" si="38"/>
        <v>5000000</v>
      </c>
      <c r="AK110" s="265"/>
      <c r="AL110" s="265"/>
      <c r="AM110" s="305"/>
      <c r="AN110" s="245"/>
    </row>
    <row r="111" spans="1:40" ht="110.25" customHeight="1" x14ac:dyDescent="0.2">
      <c r="A111" s="20" t="s">
        <v>334</v>
      </c>
      <c r="B111" s="76" t="s">
        <v>192</v>
      </c>
      <c r="C111" s="78" t="s">
        <v>339</v>
      </c>
      <c r="D111" s="24" t="s">
        <v>28</v>
      </c>
      <c r="E111" s="115" t="s">
        <v>163</v>
      </c>
      <c r="F111" s="115" t="s">
        <v>163</v>
      </c>
      <c r="G111" s="35" t="s">
        <v>433</v>
      </c>
      <c r="H111" s="77" t="s">
        <v>162</v>
      </c>
      <c r="I111" s="35">
        <v>83121700</v>
      </c>
      <c r="J111" s="35">
        <v>5</v>
      </c>
      <c r="K111" s="35">
        <v>5</v>
      </c>
      <c r="L111" s="35">
        <v>7</v>
      </c>
      <c r="M111" s="35">
        <v>1</v>
      </c>
      <c r="N111" s="35" t="s">
        <v>24</v>
      </c>
      <c r="O111" s="35" t="s">
        <v>330</v>
      </c>
      <c r="P111" s="156">
        <v>15000000</v>
      </c>
      <c r="Q111" s="116">
        <v>0</v>
      </c>
      <c r="R111" s="116">
        <v>0</v>
      </c>
      <c r="S111" s="116" t="s">
        <v>331</v>
      </c>
      <c r="T111" s="116" t="s">
        <v>332</v>
      </c>
      <c r="U111" s="77" t="s">
        <v>143</v>
      </c>
      <c r="V111" s="77">
        <v>3846666</v>
      </c>
      <c r="W111" s="35" t="s">
        <v>144</v>
      </c>
      <c r="X111" s="117" t="s">
        <v>26</v>
      </c>
      <c r="Y111" s="117" t="s">
        <v>156</v>
      </c>
      <c r="Z111" s="35"/>
      <c r="AA111" s="117"/>
      <c r="AB111" s="117"/>
      <c r="AC111" s="157">
        <f t="shared" si="39"/>
        <v>15000000</v>
      </c>
      <c r="AD111" s="203">
        <v>15623</v>
      </c>
      <c r="AE111" s="204">
        <v>15000000</v>
      </c>
      <c r="AF111" s="224">
        <f t="shared" si="37"/>
        <v>0</v>
      </c>
      <c r="AG111" s="265"/>
      <c r="AH111" s="265"/>
      <c r="AI111" s="314"/>
      <c r="AJ111" s="258">
        <f t="shared" si="38"/>
        <v>15000000</v>
      </c>
      <c r="AK111" s="265"/>
      <c r="AL111" s="265"/>
      <c r="AM111" s="305"/>
      <c r="AN111" s="245"/>
    </row>
    <row r="112" spans="1:40" ht="110.25" customHeight="1" x14ac:dyDescent="0.2">
      <c r="A112" s="20" t="s">
        <v>334</v>
      </c>
      <c r="B112" s="76" t="s">
        <v>192</v>
      </c>
      <c r="C112" s="78" t="s">
        <v>339</v>
      </c>
      <c r="D112" s="24" t="s">
        <v>28</v>
      </c>
      <c r="E112" s="115" t="s">
        <v>163</v>
      </c>
      <c r="F112" s="115" t="s">
        <v>163</v>
      </c>
      <c r="G112" s="35" t="s">
        <v>433</v>
      </c>
      <c r="H112" s="77" t="s">
        <v>611</v>
      </c>
      <c r="I112" s="35">
        <v>81112200</v>
      </c>
      <c r="J112" s="35">
        <v>5</v>
      </c>
      <c r="K112" s="35">
        <v>5</v>
      </c>
      <c r="L112" s="35">
        <v>7</v>
      </c>
      <c r="M112" s="35">
        <v>1</v>
      </c>
      <c r="N112" s="35" t="s">
        <v>24</v>
      </c>
      <c r="O112" s="35" t="s">
        <v>330</v>
      </c>
      <c r="P112" s="156">
        <v>5000000</v>
      </c>
      <c r="Q112" s="116">
        <v>0</v>
      </c>
      <c r="R112" s="116">
        <v>0</v>
      </c>
      <c r="S112" s="116" t="s">
        <v>331</v>
      </c>
      <c r="T112" s="116" t="s">
        <v>332</v>
      </c>
      <c r="U112" s="77" t="s">
        <v>143</v>
      </c>
      <c r="V112" s="77">
        <v>3846666</v>
      </c>
      <c r="W112" s="35" t="s">
        <v>144</v>
      </c>
      <c r="X112" s="117" t="s">
        <v>26</v>
      </c>
      <c r="Y112" s="117" t="s">
        <v>156</v>
      </c>
      <c r="Z112" s="35"/>
      <c r="AA112" s="117"/>
      <c r="AB112" s="117"/>
      <c r="AC112" s="157">
        <f t="shared" si="39"/>
        <v>5000000</v>
      </c>
      <c r="AD112" s="203">
        <v>14623</v>
      </c>
      <c r="AE112" s="204">
        <v>5000000</v>
      </c>
      <c r="AF112" s="224">
        <f t="shared" si="37"/>
        <v>0</v>
      </c>
      <c r="AG112" s="265"/>
      <c r="AH112" s="265"/>
      <c r="AI112" s="314"/>
      <c r="AJ112" s="258">
        <f t="shared" si="38"/>
        <v>5000000</v>
      </c>
      <c r="AK112" s="265"/>
      <c r="AL112" s="265"/>
      <c r="AM112" s="305"/>
      <c r="AN112" s="243" t="s">
        <v>588</v>
      </c>
    </row>
    <row r="113" spans="1:40" ht="110.25" customHeight="1" x14ac:dyDescent="0.2">
      <c r="A113" s="20" t="s">
        <v>334</v>
      </c>
      <c r="B113" s="76" t="s">
        <v>192</v>
      </c>
      <c r="C113" s="78" t="s">
        <v>339</v>
      </c>
      <c r="D113" s="24" t="s">
        <v>28</v>
      </c>
      <c r="E113" s="115" t="s">
        <v>163</v>
      </c>
      <c r="F113" s="115" t="s">
        <v>163</v>
      </c>
      <c r="G113" s="35" t="s">
        <v>433</v>
      </c>
      <c r="H113" s="35" t="s">
        <v>168</v>
      </c>
      <c r="I113" s="35">
        <v>80111600</v>
      </c>
      <c r="J113" s="35">
        <v>1</v>
      </c>
      <c r="K113" s="35">
        <v>1</v>
      </c>
      <c r="L113" s="35">
        <v>6</v>
      </c>
      <c r="M113" s="35">
        <v>1</v>
      </c>
      <c r="N113" s="35" t="s">
        <v>25</v>
      </c>
      <c r="O113" s="35" t="s">
        <v>330</v>
      </c>
      <c r="P113" s="157">
        <f>2800000*6</f>
        <v>16800000</v>
      </c>
      <c r="Q113" s="35">
        <v>0</v>
      </c>
      <c r="R113" s="35">
        <v>0</v>
      </c>
      <c r="S113" s="35" t="s">
        <v>331</v>
      </c>
      <c r="T113" s="35" t="s">
        <v>332</v>
      </c>
      <c r="U113" s="35" t="s">
        <v>143</v>
      </c>
      <c r="V113" s="35">
        <v>3846666</v>
      </c>
      <c r="W113" s="35" t="s">
        <v>144</v>
      </c>
      <c r="X113" s="35" t="s">
        <v>26</v>
      </c>
      <c r="Y113" s="35" t="s">
        <v>143</v>
      </c>
      <c r="Z113" s="35"/>
      <c r="AA113" s="35"/>
      <c r="AB113" s="35"/>
      <c r="AC113" s="157">
        <f t="shared" si="39"/>
        <v>16800000</v>
      </c>
      <c r="AD113" s="203">
        <v>21623</v>
      </c>
      <c r="AE113" s="204">
        <v>16800000</v>
      </c>
      <c r="AF113" s="224">
        <f t="shared" si="37"/>
        <v>0</v>
      </c>
      <c r="AG113" s="265"/>
      <c r="AH113" s="265"/>
      <c r="AI113" s="314"/>
      <c r="AJ113" s="258">
        <f t="shared" si="38"/>
        <v>16800000</v>
      </c>
      <c r="AK113" s="265"/>
      <c r="AL113" s="265"/>
      <c r="AM113" s="305"/>
      <c r="AN113" s="245"/>
    </row>
    <row r="114" spans="1:40" ht="110.25" customHeight="1" x14ac:dyDescent="0.2">
      <c r="A114" s="20" t="s">
        <v>334</v>
      </c>
      <c r="B114" s="76" t="s">
        <v>192</v>
      </c>
      <c r="C114" s="78" t="s">
        <v>339</v>
      </c>
      <c r="D114" s="24" t="s">
        <v>28</v>
      </c>
      <c r="E114" s="115" t="s">
        <v>163</v>
      </c>
      <c r="F114" s="115" t="s">
        <v>163</v>
      </c>
      <c r="G114" s="35" t="s">
        <v>433</v>
      </c>
      <c r="H114" s="77" t="s">
        <v>594</v>
      </c>
      <c r="I114" s="35">
        <v>81112200</v>
      </c>
      <c r="J114" s="35">
        <v>5</v>
      </c>
      <c r="K114" s="35">
        <v>5</v>
      </c>
      <c r="L114" s="35">
        <v>7</v>
      </c>
      <c r="M114" s="35">
        <v>1</v>
      </c>
      <c r="N114" s="35" t="s">
        <v>24</v>
      </c>
      <c r="O114" s="35" t="s">
        <v>330</v>
      </c>
      <c r="P114" s="156">
        <v>6000000</v>
      </c>
      <c r="Q114" s="116">
        <v>0</v>
      </c>
      <c r="R114" s="116">
        <v>0</v>
      </c>
      <c r="S114" s="116" t="s">
        <v>331</v>
      </c>
      <c r="T114" s="116" t="s">
        <v>332</v>
      </c>
      <c r="U114" s="77" t="s">
        <v>143</v>
      </c>
      <c r="V114" s="77">
        <v>3846666</v>
      </c>
      <c r="W114" s="35" t="s">
        <v>144</v>
      </c>
      <c r="X114" s="117" t="s">
        <v>26</v>
      </c>
      <c r="Y114" s="117" t="s">
        <v>156</v>
      </c>
      <c r="Z114" s="35"/>
      <c r="AA114" s="117"/>
      <c r="AB114" s="117"/>
      <c r="AC114" s="157">
        <f t="shared" si="39"/>
        <v>6000000</v>
      </c>
      <c r="AD114" s="203" t="s">
        <v>595</v>
      </c>
      <c r="AE114" s="204">
        <f>6000000-6000000+6000000</f>
        <v>6000000</v>
      </c>
      <c r="AF114" s="224">
        <f t="shared" si="37"/>
        <v>0</v>
      </c>
      <c r="AG114" s="263">
        <v>18723</v>
      </c>
      <c r="AH114" s="266">
        <v>45078</v>
      </c>
      <c r="AI114" s="268">
        <v>6000000</v>
      </c>
      <c r="AJ114" s="262">
        <f t="shared" si="38"/>
        <v>0</v>
      </c>
      <c r="AK114" s="263" t="s">
        <v>725</v>
      </c>
      <c r="AL114" s="263" t="s">
        <v>724</v>
      </c>
      <c r="AM114" s="305"/>
      <c r="AN114" s="13" t="s">
        <v>588</v>
      </c>
    </row>
    <row r="115" spans="1:40" ht="76.5" customHeight="1" x14ac:dyDescent="0.2">
      <c r="A115" s="9" t="s">
        <v>37</v>
      </c>
      <c r="B115" s="10" t="s">
        <v>1</v>
      </c>
      <c r="C115" s="10" t="s">
        <v>38</v>
      </c>
      <c r="D115" s="76" t="s">
        <v>39</v>
      </c>
      <c r="E115" s="1" t="s">
        <v>128</v>
      </c>
      <c r="F115" s="1" t="s">
        <v>193</v>
      </c>
      <c r="G115" s="18" t="s">
        <v>1</v>
      </c>
      <c r="H115" s="11" t="s">
        <v>40</v>
      </c>
      <c r="I115" s="11">
        <v>50201713</v>
      </c>
      <c r="J115" s="1">
        <v>3</v>
      </c>
      <c r="K115" s="1">
        <v>3</v>
      </c>
      <c r="L115" s="1">
        <v>9</v>
      </c>
      <c r="M115" s="4">
        <v>1</v>
      </c>
      <c r="N115" s="11" t="s">
        <v>24</v>
      </c>
      <c r="O115" s="1" t="s">
        <v>330</v>
      </c>
      <c r="P115" s="22">
        <v>300000</v>
      </c>
      <c r="Q115" s="38">
        <v>0</v>
      </c>
      <c r="R115" s="38">
        <v>0</v>
      </c>
      <c r="S115" s="38" t="s">
        <v>331</v>
      </c>
      <c r="T115" s="38" t="s">
        <v>332</v>
      </c>
      <c r="U115" s="11" t="s">
        <v>22</v>
      </c>
      <c r="V115" s="11">
        <v>3846666</v>
      </c>
      <c r="W115" s="11" t="s">
        <v>23</v>
      </c>
      <c r="X115" s="11" t="s">
        <v>27</v>
      </c>
      <c r="Y115" s="11" t="s">
        <v>41</v>
      </c>
      <c r="Z115" s="11"/>
      <c r="AA115" s="11"/>
      <c r="AB115" s="158">
        <f>183791+10262</f>
        <v>194053</v>
      </c>
      <c r="AC115" s="160">
        <f t="shared" si="39"/>
        <v>105947</v>
      </c>
      <c r="AD115" s="203">
        <v>8023</v>
      </c>
      <c r="AE115" s="241">
        <f>105947-91988.59</f>
        <v>13958.410000000003</v>
      </c>
      <c r="AF115" s="224">
        <f>+AC115-AE115</f>
        <v>91988.59</v>
      </c>
      <c r="AG115" s="263">
        <v>10623</v>
      </c>
      <c r="AH115" s="266">
        <v>45016</v>
      </c>
      <c r="AI115" s="275">
        <v>13958.41</v>
      </c>
      <c r="AJ115" s="262">
        <f t="shared" si="38"/>
        <v>91988.59</v>
      </c>
      <c r="AK115" s="263" t="s">
        <v>534</v>
      </c>
      <c r="AL115" s="263" t="s">
        <v>536</v>
      </c>
      <c r="AM115" s="387">
        <f>1150.93+1550.93</f>
        <v>2701.86</v>
      </c>
      <c r="AN115" s="13" t="s">
        <v>441</v>
      </c>
    </row>
    <row r="116" spans="1:40" ht="123" customHeight="1" x14ac:dyDescent="0.2">
      <c r="A116" s="9" t="s">
        <v>315</v>
      </c>
      <c r="B116" s="10" t="s">
        <v>1</v>
      </c>
      <c r="C116" s="10" t="s">
        <v>317</v>
      </c>
      <c r="D116" s="42" t="s">
        <v>17</v>
      </c>
      <c r="E116" s="1" t="s">
        <v>32</v>
      </c>
      <c r="F116" s="1" t="s">
        <v>198</v>
      </c>
      <c r="G116" s="18" t="s">
        <v>1</v>
      </c>
      <c r="H116" s="4" t="s">
        <v>592</v>
      </c>
      <c r="I116" s="4">
        <v>53102710</v>
      </c>
      <c r="J116" s="4">
        <v>3</v>
      </c>
      <c r="K116" s="4">
        <v>4</v>
      </c>
      <c r="L116" s="4">
        <v>8</v>
      </c>
      <c r="M116" s="4">
        <v>1</v>
      </c>
      <c r="N116" s="4" t="s">
        <v>24</v>
      </c>
      <c r="O116" s="3" t="s">
        <v>330</v>
      </c>
      <c r="P116" s="154">
        <v>18025000</v>
      </c>
      <c r="Q116" s="38">
        <v>0</v>
      </c>
      <c r="R116" s="38">
        <v>0</v>
      </c>
      <c r="S116" s="38" t="s">
        <v>331</v>
      </c>
      <c r="T116" s="38" t="s">
        <v>332</v>
      </c>
      <c r="U116" s="1" t="s">
        <v>22</v>
      </c>
      <c r="V116" s="1">
        <v>3846666</v>
      </c>
      <c r="W116" s="6" t="s">
        <v>23</v>
      </c>
      <c r="X116" s="4" t="s">
        <v>27</v>
      </c>
      <c r="Y116" s="2" t="s">
        <v>30</v>
      </c>
      <c r="Z116" s="2"/>
      <c r="AA116" s="2"/>
      <c r="AB116" s="2"/>
      <c r="AC116" s="160">
        <f t="shared" si="39"/>
        <v>18025000</v>
      </c>
      <c r="AD116" s="203">
        <v>14123</v>
      </c>
      <c r="AE116" s="204">
        <f>18025000-40</f>
        <v>18024960</v>
      </c>
      <c r="AF116" s="224">
        <f t="shared" ref="AF116:AF173" si="43">+AC116-AE116</f>
        <v>40</v>
      </c>
      <c r="AG116" s="265">
        <v>20623</v>
      </c>
      <c r="AH116" s="398">
        <v>45090</v>
      </c>
      <c r="AI116" s="276">
        <v>18024960</v>
      </c>
      <c r="AJ116" s="258">
        <f t="shared" si="38"/>
        <v>40</v>
      </c>
      <c r="AK116" s="265" t="s">
        <v>773</v>
      </c>
      <c r="AL116" s="265" t="s">
        <v>774</v>
      </c>
      <c r="AM116" s="305"/>
      <c r="AN116" s="245"/>
    </row>
    <row r="117" spans="1:40" ht="80.25" customHeight="1" x14ac:dyDescent="0.2">
      <c r="A117" s="9" t="s">
        <v>42</v>
      </c>
      <c r="B117" s="10" t="s">
        <v>1</v>
      </c>
      <c r="C117" s="10" t="s">
        <v>43</v>
      </c>
      <c r="D117" s="165" t="s">
        <v>17</v>
      </c>
      <c r="E117" s="1" t="s">
        <v>128</v>
      </c>
      <c r="F117" s="1" t="s">
        <v>193</v>
      </c>
      <c r="G117" s="18" t="s">
        <v>1</v>
      </c>
      <c r="H117" s="11" t="s">
        <v>44</v>
      </c>
      <c r="I117" s="11" t="s">
        <v>1</v>
      </c>
      <c r="J117" s="1">
        <v>3</v>
      </c>
      <c r="K117" s="1">
        <v>3</v>
      </c>
      <c r="L117" s="1">
        <v>9</v>
      </c>
      <c r="M117" s="4">
        <v>1</v>
      </c>
      <c r="N117" s="11" t="s">
        <v>45</v>
      </c>
      <c r="O117" s="13" t="s">
        <v>330</v>
      </c>
      <c r="P117" s="152">
        <v>500000</v>
      </c>
      <c r="Q117" s="38">
        <v>0</v>
      </c>
      <c r="R117" s="38">
        <v>0</v>
      </c>
      <c r="S117" s="38" t="s">
        <v>331</v>
      </c>
      <c r="T117" s="38" t="s">
        <v>332</v>
      </c>
      <c r="U117" s="11" t="s">
        <v>22</v>
      </c>
      <c r="V117" s="11">
        <v>3846666</v>
      </c>
      <c r="W117" s="11" t="s">
        <v>23</v>
      </c>
      <c r="X117" s="11" t="s">
        <v>46</v>
      </c>
      <c r="Y117" s="11" t="s">
        <v>41</v>
      </c>
      <c r="Z117" s="11"/>
      <c r="AA117" s="11"/>
      <c r="AB117" s="11"/>
      <c r="AC117" s="160">
        <f t="shared" si="39"/>
        <v>500000</v>
      </c>
      <c r="AD117" s="237">
        <v>3823</v>
      </c>
      <c r="AE117" s="204">
        <v>50000</v>
      </c>
      <c r="AF117" s="224">
        <f t="shared" si="43"/>
        <v>450000</v>
      </c>
      <c r="AG117" s="263">
        <v>4123</v>
      </c>
      <c r="AH117" s="266">
        <v>44971</v>
      </c>
      <c r="AI117" s="275">
        <v>50000</v>
      </c>
      <c r="AJ117" s="262">
        <f t="shared" si="38"/>
        <v>450000</v>
      </c>
      <c r="AK117" s="267" t="s">
        <v>500</v>
      </c>
      <c r="AL117" s="267" t="s">
        <v>46</v>
      </c>
      <c r="AM117" s="320">
        <v>50000</v>
      </c>
      <c r="AN117" s="12"/>
    </row>
    <row r="118" spans="1:40" ht="80.25" customHeight="1" x14ac:dyDescent="0.2">
      <c r="A118" s="9" t="s">
        <v>42</v>
      </c>
      <c r="B118" s="10" t="s">
        <v>1</v>
      </c>
      <c r="C118" s="10" t="s">
        <v>43</v>
      </c>
      <c r="D118" s="165" t="s">
        <v>17</v>
      </c>
      <c r="E118" s="1" t="s">
        <v>128</v>
      </c>
      <c r="F118" s="1" t="s">
        <v>193</v>
      </c>
      <c r="G118" s="18" t="s">
        <v>1</v>
      </c>
      <c r="H118" s="11" t="s">
        <v>47</v>
      </c>
      <c r="I118" s="11">
        <v>50161814</v>
      </c>
      <c r="J118" s="1">
        <v>3</v>
      </c>
      <c r="K118" s="1">
        <v>3</v>
      </c>
      <c r="L118" s="1">
        <v>9</v>
      </c>
      <c r="M118" s="4">
        <v>1</v>
      </c>
      <c r="N118" s="11" t="s">
        <v>24</v>
      </c>
      <c r="O118" s="13" t="s">
        <v>330</v>
      </c>
      <c r="P118" s="152">
        <v>150000</v>
      </c>
      <c r="Q118" s="38">
        <v>0</v>
      </c>
      <c r="R118" s="38">
        <v>0</v>
      </c>
      <c r="S118" s="38" t="s">
        <v>331</v>
      </c>
      <c r="T118" s="38" t="s">
        <v>332</v>
      </c>
      <c r="U118" s="11" t="s">
        <v>22</v>
      </c>
      <c r="V118" s="11">
        <v>3846666</v>
      </c>
      <c r="W118" s="11" t="s">
        <v>23</v>
      </c>
      <c r="X118" s="11" t="s">
        <v>27</v>
      </c>
      <c r="Y118" s="11" t="s">
        <v>41</v>
      </c>
      <c r="Z118" s="11"/>
      <c r="AA118" s="158">
        <v>857000</v>
      </c>
      <c r="AB118" s="11"/>
      <c r="AC118" s="160">
        <f t="shared" si="39"/>
        <v>1007000</v>
      </c>
      <c r="AD118" s="203">
        <v>8023</v>
      </c>
      <c r="AE118" s="241">
        <f>1007000-535903.8</f>
        <v>471096.19999999995</v>
      </c>
      <c r="AF118" s="224">
        <f t="shared" si="43"/>
        <v>535903.80000000005</v>
      </c>
      <c r="AG118" s="263">
        <v>10623</v>
      </c>
      <c r="AH118" s="266">
        <v>45016</v>
      </c>
      <c r="AI118" s="275">
        <v>471096.2</v>
      </c>
      <c r="AJ118" s="262">
        <f t="shared" si="38"/>
        <v>535903.80000000005</v>
      </c>
      <c r="AK118" s="263" t="s">
        <v>534</v>
      </c>
      <c r="AL118" s="263" t="s">
        <v>536</v>
      </c>
      <c r="AM118" s="387">
        <f>52344.02+52344.02</f>
        <v>104688.04</v>
      </c>
      <c r="AN118" s="13" t="s">
        <v>441</v>
      </c>
    </row>
    <row r="119" spans="1:40" ht="80.25" customHeight="1" x14ac:dyDescent="0.2">
      <c r="A119" s="9" t="s">
        <v>42</v>
      </c>
      <c r="B119" s="10" t="s">
        <v>1</v>
      </c>
      <c r="C119" s="10" t="s">
        <v>43</v>
      </c>
      <c r="D119" s="165" t="s">
        <v>17</v>
      </c>
      <c r="E119" s="1" t="s">
        <v>128</v>
      </c>
      <c r="F119" s="1" t="s">
        <v>193</v>
      </c>
      <c r="G119" s="18" t="s">
        <v>1</v>
      </c>
      <c r="H119" s="11" t="s">
        <v>48</v>
      </c>
      <c r="I119" s="11">
        <v>50201706</v>
      </c>
      <c r="J119" s="1">
        <v>3</v>
      </c>
      <c r="K119" s="1">
        <v>3</v>
      </c>
      <c r="L119" s="1">
        <v>9</v>
      </c>
      <c r="M119" s="4">
        <v>1</v>
      </c>
      <c r="N119" s="11" t="s">
        <v>24</v>
      </c>
      <c r="O119" s="13" t="s">
        <v>330</v>
      </c>
      <c r="P119" s="152">
        <v>4500000</v>
      </c>
      <c r="Q119" s="38">
        <v>0</v>
      </c>
      <c r="R119" s="38">
        <v>0</v>
      </c>
      <c r="S119" s="38" t="s">
        <v>331</v>
      </c>
      <c r="T119" s="38" t="s">
        <v>332</v>
      </c>
      <c r="U119" s="11" t="s">
        <v>22</v>
      </c>
      <c r="V119" s="11">
        <v>3846666</v>
      </c>
      <c r="W119" s="11" t="s">
        <v>23</v>
      </c>
      <c r="X119" s="11" t="s">
        <v>27</v>
      </c>
      <c r="Y119" s="11" t="s">
        <v>41</v>
      </c>
      <c r="Z119" s="11"/>
      <c r="AA119" s="11"/>
      <c r="AB119" s="158">
        <f>857000+3643000</f>
        <v>4500000</v>
      </c>
      <c r="AC119" s="160">
        <f t="shared" si="39"/>
        <v>0</v>
      </c>
      <c r="AD119" s="243"/>
      <c r="AE119" s="251"/>
      <c r="AF119" s="242">
        <f t="shared" si="43"/>
        <v>0</v>
      </c>
      <c r="AG119" s="265"/>
      <c r="AH119" s="265"/>
      <c r="AI119" s="276"/>
      <c r="AJ119" s="258">
        <f t="shared" si="38"/>
        <v>0</v>
      </c>
      <c r="AK119" s="265"/>
      <c r="AL119" s="265"/>
      <c r="AM119" s="305"/>
      <c r="AN119" s="243" t="s">
        <v>441</v>
      </c>
    </row>
    <row r="120" spans="1:40" ht="60.75" customHeight="1" x14ac:dyDescent="0.2">
      <c r="A120" s="9" t="s">
        <v>49</v>
      </c>
      <c r="B120" s="10" t="s">
        <v>1</v>
      </c>
      <c r="C120" s="10" t="s">
        <v>50</v>
      </c>
      <c r="D120" s="115" t="s">
        <v>51</v>
      </c>
      <c r="E120" s="1" t="s">
        <v>128</v>
      </c>
      <c r="F120" s="1" t="s">
        <v>193</v>
      </c>
      <c r="G120" s="18" t="s">
        <v>1</v>
      </c>
      <c r="H120" s="11" t="s">
        <v>52</v>
      </c>
      <c r="I120" s="11" t="s">
        <v>1</v>
      </c>
      <c r="J120" s="13" t="s">
        <v>53</v>
      </c>
      <c r="K120" s="13" t="s">
        <v>53</v>
      </c>
      <c r="L120" s="13" t="s">
        <v>53</v>
      </c>
      <c r="M120" s="13" t="s">
        <v>53</v>
      </c>
      <c r="N120" s="11" t="s">
        <v>45</v>
      </c>
      <c r="O120" s="13" t="s">
        <v>330</v>
      </c>
      <c r="P120" s="152">
        <v>1100000</v>
      </c>
      <c r="Q120" s="38">
        <v>0</v>
      </c>
      <c r="R120" s="38">
        <v>0</v>
      </c>
      <c r="S120" s="38" t="s">
        <v>331</v>
      </c>
      <c r="T120" s="38" t="s">
        <v>332</v>
      </c>
      <c r="U120" s="11" t="s">
        <v>22</v>
      </c>
      <c r="V120" s="11">
        <v>3846666</v>
      </c>
      <c r="W120" s="11" t="s">
        <v>23</v>
      </c>
      <c r="X120" s="11" t="s">
        <v>46</v>
      </c>
      <c r="Y120" s="11" t="s">
        <v>41</v>
      </c>
      <c r="Z120" s="11"/>
      <c r="AA120" s="11"/>
      <c r="AB120" s="11"/>
      <c r="AC120" s="160">
        <f t="shared" si="39"/>
        <v>1100000</v>
      </c>
      <c r="AD120" s="237" t="s">
        <v>823</v>
      </c>
      <c r="AE120" s="204">
        <f>110000+104747.37+87300+99960+49660</f>
        <v>451667.37</v>
      </c>
      <c r="AF120" s="224">
        <f>+AC120-AE120</f>
        <v>648332.63</v>
      </c>
      <c r="AG120" s="267" t="s">
        <v>824</v>
      </c>
      <c r="AH120" s="277" t="s">
        <v>825</v>
      </c>
      <c r="AI120" s="275">
        <f>110000+104747.37+87300+99960+49660</f>
        <v>451667.37</v>
      </c>
      <c r="AJ120" s="262">
        <f>+AC120-AI120</f>
        <v>648332.63</v>
      </c>
      <c r="AK120" s="267" t="s">
        <v>826</v>
      </c>
      <c r="AL120" s="267" t="s">
        <v>46</v>
      </c>
      <c r="AM120" s="411">
        <f>110000+104747.37+87300+99960+49660</f>
        <v>451667.37</v>
      </c>
      <c r="AN120" s="12"/>
    </row>
    <row r="121" spans="1:40" ht="83.25" customHeight="1" x14ac:dyDescent="0.2">
      <c r="A121" s="9" t="s">
        <v>49</v>
      </c>
      <c r="B121" s="10" t="s">
        <v>1</v>
      </c>
      <c r="C121" s="10" t="s">
        <v>50</v>
      </c>
      <c r="D121" s="115" t="s">
        <v>51</v>
      </c>
      <c r="E121" s="1" t="s">
        <v>128</v>
      </c>
      <c r="F121" s="1" t="s">
        <v>193</v>
      </c>
      <c r="G121" s="18" t="s">
        <v>1</v>
      </c>
      <c r="H121" s="11" t="s">
        <v>54</v>
      </c>
      <c r="I121" s="11" t="s">
        <v>55</v>
      </c>
      <c r="J121" s="11" t="s">
        <v>752</v>
      </c>
      <c r="K121" s="11" t="s">
        <v>752</v>
      </c>
      <c r="L121" s="13">
        <v>1</v>
      </c>
      <c r="M121" s="13">
        <v>1</v>
      </c>
      <c r="N121" s="11" t="s">
        <v>24</v>
      </c>
      <c r="O121" s="13" t="s">
        <v>330</v>
      </c>
      <c r="P121" s="152">
        <v>4300000</v>
      </c>
      <c r="Q121" s="38">
        <v>0</v>
      </c>
      <c r="R121" s="38">
        <v>0</v>
      </c>
      <c r="S121" s="38" t="s">
        <v>331</v>
      </c>
      <c r="T121" s="38" t="s">
        <v>332</v>
      </c>
      <c r="U121" s="11" t="s">
        <v>22</v>
      </c>
      <c r="V121" s="11">
        <v>3846666</v>
      </c>
      <c r="W121" s="11" t="s">
        <v>23</v>
      </c>
      <c r="X121" s="11" t="s">
        <v>56</v>
      </c>
      <c r="Y121" s="11" t="s">
        <v>41</v>
      </c>
      <c r="Z121" s="11"/>
      <c r="AA121" s="11"/>
      <c r="AB121" s="158">
        <v>197000</v>
      </c>
      <c r="AC121" s="160">
        <f t="shared" si="39"/>
        <v>4103000</v>
      </c>
      <c r="AD121" s="203">
        <v>17923</v>
      </c>
      <c r="AE121" s="204">
        <v>3973332</v>
      </c>
      <c r="AF121" s="224">
        <f t="shared" si="43"/>
        <v>129668</v>
      </c>
      <c r="AG121" s="263">
        <v>18823</v>
      </c>
      <c r="AH121" s="266">
        <v>45078</v>
      </c>
      <c r="AI121" s="413">
        <v>3973332</v>
      </c>
      <c r="AJ121" s="262">
        <f t="shared" si="38"/>
        <v>129668</v>
      </c>
      <c r="AK121" s="263" t="s">
        <v>727</v>
      </c>
      <c r="AL121" s="267" t="s">
        <v>726</v>
      </c>
      <c r="AM121" s="305"/>
      <c r="AN121" s="243" t="s">
        <v>588</v>
      </c>
    </row>
    <row r="122" spans="1:40" ht="60.75" customHeight="1" x14ac:dyDescent="0.2">
      <c r="A122" s="9" t="s">
        <v>57</v>
      </c>
      <c r="B122" s="10" t="s">
        <v>1</v>
      </c>
      <c r="C122" s="10" t="s">
        <v>58</v>
      </c>
      <c r="D122" s="115" t="s">
        <v>51</v>
      </c>
      <c r="E122" s="1" t="s">
        <v>128</v>
      </c>
      <c r="F122" s="1" t="s">
        <v>193</v>
      </c>
      <c r="G122" s="18" t="s">
        <v>1</v>
      </c>
      <c r="H122" s="11" t="s">
        <v>59</v>
      </c>
      <c r="I122" s="11">
        <v>44103103</v>
      </c>
      <c r="J122" s="13">
        <v>4</v>
      </c>
      <c r="K122" s="13">
        <v>4</v>
      </c>
      <c r="L122" s="13">
        <v>1</v>
      </c>
      <c r="M122" s="13">
        <v>1</v>
      </c>
      <c r="N122" s="11" t="s">
        <v>24</v>
      </c>
      <c r="O122" s="13" t="s">
        <v>330</v>
      </c>
      <c r="P122" s="152">
        <v>7000000</v>
      </c>
      <c r="Q122" s="38">
        <v>0</v>
      </c>
      <c r="R122" s="38">
        <v>0</v>
      </c>
      <c r="S122" s="38" t="s">
        <v>331</v>
      </c>
      <c r="T122" s="38" t="s">
        <v>332</v>
      </c>
      <c r="U122" s="11" t="s">
        <v>22</v>
      </c>
      <c r="V122" s="11">
        <v>3846666</v>
      </c>
      <c r="W122" s="11" t="s">
        <v>23</v>
      </c>
      <c r="X122" s="11" t="s">
        <v>27</v>
      </c>
      <c r="Y122" s="11" t="s">
        <v>41</v>
      </c>
      <c r="Z122" s="11"/>
      <c r="AA122" s="11"/>
      <c r="AB122" s="11"/>
      <c r="AC122" s="160">
        <f t="shared" si="39"/>
        <v>7000000</v>
      </c>
      <c r="AD122" s="203">
        <v>17923</v>
      </c>
      <c r="AE122" s="204">
        <v>6892480</v>
      </c>
      <c r="AF122" s="224">
        <f t="shared" si="43"/>
        <v>107520</v>
      </c>
      <c r="AG122" s="263">
        <v>18823</v>
      </c>
      <c r="AH122" s="266">
        <v>45078</v>
      </c>
      <c r="AI122" s="413">
        <v>6892480</v>
      </c>
      <c r="AJ122" s="262">
        <f t="shared" si="38"/>
        <v>107520</v>
      </c>
      <c r="AK122" s="263" t="s">
        <v>727</v>
      </c>
      <c r="AL122" s="267" t="s">
        <v>726</v>
      </c>
      <c r="AM122" s="305"/>
      <c r="AN122" s="245"/>
    </row>
    <row r="123" spans="1:40" ht="60.75" customHeight="1" x14ac:dyDescent="0.2">
      <c r="A123" s="9" t="s">
        <v>60</v>
      </c>
      <c r="B123" s="10" t="s">
        <v>1</v>
      </c>
      <c r="C123" s="10" t="s">
        <v>61</v>
      </c>
      <c r="D123" s="115" t="s">
        <v>51</v>
      </c>
      <c r="E123" s="1" t="s">
        <v>128</v>
      </c>
      <c r="F123" s="1" t="s">
        <v>193</v>
      </c>
      <c r="G123" s="18" t="s">
        <v>1</v>
      </c>
      <c r="H123" s="11" t="s">
        <v>62</v>
      </c>
      <c r="I123" s="11" t="s">
        <v>63</v>
      </c>
      <c r="J123" s="11" t="s">
        <v>752</v>
      </c>
      <c r="K123" s="11" t="s">
        <v>752</v>
      </c>
      <c r="L123" s="13">
        <v>1</v>
      </c>
      <c r="M123" s="13">
        <v>1</v>
      </c>
      <c r="N123" s="11" t="s">
        <v>24</v>
      </c>
      <c r="O123" s="13" t="s">
        <v>330</v>
      </c>
      <c r="P123" s="152">
        <v>500000</v>
      </c>
      <c r="Q123" s="38">
        <v>0</v>
      </c>
      <c r="R123" s="38">
        <v>0</v>
      </c>
      <c r="S123" s="38" t="s">
        <v>331</v>
      </c>
      <c r="T123" s="38" t="s">
        <v>332</v>
      </c>
      <c r="U123" s="11" t="s">
        <v>22</v>
      </c>
      <c r="V123" s="11">
        <v>3846666</v>
      </c>
      <c r="W123" s="11" t="s">
        <v>23</v>
      </c>
      <c r="X123" s="11" t="s">
        <v>27</v>
      </c>
      <c r="Y123" s="11" t="s">
        <v>41</v>
      </c>
      <c r="Z123" s="11"/>
      <c r="AA123" s="158">
        <v>197000</v>
      </c>
      <c r="AB123" s="11"/>
      <c r="AC123" s="160">
        <f t="shared" si="39"/>
        <v>697000</v>
      </c>
      <c r="AD123" s="203">
        <v>17923</v>
      </c>
      <c r="AE123" s="204">
        <f>312756-4359</f>
        <v>308397</v>
      </c>
      <c r="AF123" s="224">
        <f t="shared" si="43"/>
        <v>388603</v>
      </c>
      <c r="AG123" s="263">
        <v>18823</v>
      </c>
      <c r="AH123" s="266">
        <v>45078</v>
      </c>
      <c r="AI123" s="413">
        <v>308397</v>
      </c>
      <c r="AJ123" s="262">
        <f t="shared" si="38"/>
        <v>388603</v>
      </c>
      <c r="AK123" s="263" t="s">
        <v>727</v>
      </c>
      <c r="AL123" s="267" t="s">
        <v>726</v>
      </c>
      <c r="AM123" s="305"/>
      <c r="AN123" s="243" t="s">
        <v>588</v>
      </c>
    </row>
    <row r="124" spans="1:40" ht="60.75" customHeight="1" x14ac:dyDescent="0.2">
      <c r="A124" s="9" t="s">
        <v>49</v>
      </c>
      <c r="B124" s="10" t="s">
        <v>1</v>
      </c>
      <c r="C124" s="10" t="s">
        <v>50</v>
      </c>
      <c r="D124" s="115" t="s">
        <v>51</v>
      </c>
      <c r="E124" s="1" t="s">
        <v>128</v>
      </c>
      <c r="F124" s="1" t="s">
        <v>193</v>
      </c>
      <c r="G124" s="18" t="s">
        <v>1</v>
      </c>
      <c r="H124" s="11" t="s">
        <v>64</v>
      </c>
      <c r="I124" s="11" t="s">
        <v>65</v>
      </c>
      <c r="J124" s="1">
        <v>3</v>
      </c>
      <c r="K124" s="1">
        <v>3</v>
      </c>
      <c r="L124" s="1">
        <v>9</v>
      </c>
      <c r="M124" s="13">
        <v>1</v>
      </c>
      <c r="N124" s="11" t="s">
        <v>24</v>
      </c>
      <c r="O124" s="13" t="s">
        <v>330</v>
      </c>
      <c r="P124" s="152">
        <v>4000000</v>
      </c>
      <c r="Q124" s="38">
        <v>0</v>
      </c>
      <c r="R124" s="38">
        <v>0</v>
      </c>
      <c r="S124" s="38" t="s">
        <v>331</v>
      </c>
      <c r="T124" s="38" t="s">
        <v>332</v>
      </c>
      <c r="U124" s="11" t="s">
        <v>22</v>
      </c>
      <c r="V124" s="11">
        <v>3846666</v>
      </c>
      <c r="W124" s="11" t="s">
        <v>23</v>
      </c>
      <c r="X124" s="11" t="s">
        <v>27</v>
      </c>
      <c r="Y124" s="11" t="s">
        <v>41</v>
      </c>
      <c r="Z124" s="11"/>
      <c r="AA124" s="11"/>
      <c r="AB124" s="158">
        <v>3124881</v>
      </c>
      <c r="AC124" s="160">
        <f t="shared" si="39"/>
        <v>875119</v>
      </c>
      <c r="AD124" s="203">
        <v>8023</v>
      </c>
      <c r="AE124" s="241">
        <f>875118-440950.44</f>
        <v>434167.56</v>
      </c>
      <c r="AF124" s="224">
        <f t="shared" si="43"/>
        <v>440951.44</v>
      </c>
      <c r="AG124" s="263">
        <v>10623</v>
      </c>
      <c r="AH124" s="266">
        <v>45016</v>
      </c>
      <c r="AI124" s="413">
        <v>434167.56</v>
      </c>
      <c r="AJ124" s="262">
        <f t="shared" si="38"/>
        <v>440951.44</v>
      </c>
      <c r="AK124" s="263" t="s">
        <v>534</v>
      </c>
      <c r="AL124" s="263" t="s">
        <v>536</v>
      </c>
      <c r="AM124" s="387">
        <f>53242.02+47615.69</f>
        <v>100857.70999999999</v>
      </c>
      <c r="AN124" s="13" t="s">
        <v>441</v>
      </c>
    </row>
    <row r="125" spans="1:40" ht="70.5" customHeight="1" x14ac:dyDescent="0.2">
      <c r="A125" s="9" t="s">
        <v>66</v>
      </c>
      <c r="B125" s="10" t="s">
        <v>1</v>
      </c>
      <c r="C125" s="10" t="s">
        <v>67</v>
      </c>
      <c r="D125" s="115" t="s">
        <v>51</v>
      </c>
      <c r="E125" s="1" t="s">
        <v>128</v>
      </c>
      <c r="F125" s="1" t="s">
        <v>193</v>
      </c>
      <c r="G125" s="18" t="s">
        <v>1</v>
      </c>
      <c r="H125" s="11" t="s">
        <v>68</v>
      </c>
      <c r="I125" s="11">
        <v>15101505</v>
      </c>
      <c r="J125" s="13">
        <v>1</v>
      </c>
      <c r="K125" s="13">
        <v>1</v>
      </c>
      <c r="L125" s="13">
        <v>12</v>
      </c>
      <c r="M125" s="13">
        <v>1</v>
      </c>
      <c r="N125" s="11" t="s">
        <v>24</v>
      </c>
      <c r="O125" s="13" t="s">
        <v>330</v>
      </c>
      <c r="P125" s="152">
        <f>300000*12</f>
        <v>3600000</v>
      </c>
      <c r="Q125" s="38">
        <v>0</v>
      </c>
      <c r="R125" s="38">
        <v>0</v>
      </c>
      <c r="S125" s="38" t="s">
        <v>331</v>
      </c>
      <c r="T125" s="38" t="s">
        <v>332</v>
      </c>
      <c r="U125" s="11" t="s">
        <v>22</v>
      </c>
      <c r="V125" s="11">
        <v>3846666</v>
      </c>
      <c r="W125" s="11" t="s">
        <v>23</v>
      </c>
      <c r="X125" s="11" t="s">
        <v>27</v>
      </c>
      <c r="Y125" s="11" t="s">
        <v>41</v>
      </c>
      <c r="Z125" s="11"/>
      <c r="AA125" s="11"/>
      <c r="AB125" s="11"/>
      <c r="AC125" s="160">
        <f t="shared" si="39"/>
        <v>3600000</v>
      </c>
      <c r="AD125" s="203">
        <v>523</v>
      </c>
      <c r="AE125" s="204">
        <v>3030048</v>
      </c>
      <c r="AF125" s="224">
        <f t="shared" si="43"/>
        <v>569952</v>
      </c>
      <c r="AG125" s="263">
        <v>523</v>
      </c>
      <c r="AH125" s="266">
        <v>44573</v>
      </c>
      <c r="AI125" s="413">
        <v>3030048</v>
      </c>
      <c r="AJ125" s="262">
        <f t="shared" si="38"/>
        <v>569952</v>
      </c>
      <c r="AK125" s="263" t="s">
        <v>435</v>
      </c>
      <c r="AL125" s="267" t="s">
        <v>436</v>
      </c>
      <c r="AM125" s="387">
        <f>191871+199246+250228+159204+258600</f>
        <v>1059149</v>
      </c>
      <c r="AN125" s="12"/>
    </row>
    <row r="126" spans="1:40" ht="60.75" customHeight="1" x14ac:dyDescent="0.2">
      <c r="A126" s="9" t="s">
        <v>57</v>
      </c>
      <c r="B126" s="10" t="s">
        <v>1</v>
      </c>
      <c r="C126" s="10" t="s">
        <v>58</v>
      </c>
      <c r="D126" s="115" t="s">
        <v>51</v>
      </c>
      <c r="E126" s="1" t="s">
        <v>128</v>
      </c>
      <c r="F126" s="1" t="s">
        <v>193</v>
      </c>
      <c r="G126" s="18" t="s">
        <v>1</v>
      </c>
      <c r="H126" s="11" t="s">
        <v>69</v>
      </c>
      <c r="I126" s="11">
        <v>12352104</v>
      </c>
      <c r="J126" s="1">
        <v>3</v>
      </c>
      <c r="K126" s="1">
        <v>3</v>
      </c>
      <c r="L126" s="1">
        <v>9</v>
      </c>
      <c r="M126" s="13">
        <v>1</v>
      </c>
      <c r="N126" s="11" t="s">
        <v>24</v>
      </c>
      <c r="O126" s="13" t="s">
        <v>330</v>
      </c>
      <c r="P126" s="152">
        <v>120000</v>
      </c>
      <c r="Q126" s="38">
        <v>0</v>
      </c>
      <c r="R126" s="38">
        <v>0</v>
      </c>
      <c r="S126" s="38" t="s">
        <v>331</v>
      </c>
      <c r="T126" s="38" t="s">
        <v>332</v>
      </c>
      <c r="U126" s="11" t="s">
        <v>22</v>
      </c>
      <c r="V126" s="11">
        <v>3846666</v>
      </c>
      <c r="W126" s="11" t="s">
        <v>23</v>
      </c>
      <c r="X126" s="11" t="s">
        <v>27</v>
      </c>
      <c r="Y126" s="11" t="s">
        <v>41</v>
      </c>
      <c r="Z126" s="11"/>
      <c r="AA126" s="11"/>
      <c r="AB126" s="158">
        <v>89071</v>
      </c>
      <c r="AC126" s="160">
        <f t="shared" si="39"/>
        <v>30929</v>
      </c>
      <c r="AD126" s="203">
        <v>8023</v>
      </c>
      <c r="AE126" s="241">
        <f>30929-11977.9</f>
        <v>18951.099999999999</v>
      </c>
      <c r="AF126" s="224">
        <f t="shared" si="43"/>
        <v>11977.900000000001</v>
      </c>
      <c r="AG126" s="263">
        <v>10623</v>
      </c>
      <c r="AH126" s="266">
        <v>45016</v>
      </c>
      <c r="AI126" s="413">
        <v>18951.099999999999</v>
      </c>
      <c r="AJ126" s="262">
        <f t="shared" si="38"/>
        <v>11977.900000000001</v>
      </c>
      <c r="AK126" s="263" t="s">
        <v>534</v>
      </c>
      <c r="AL126" s="263" t="s">
        <v>536</v>
      </c>
      <c r="AM126" s="387">
        <f>2105.68+2105.68</f>
        <v>4211.3599999999997</v>
      </c>
      <c r="AN126" s="13" t="s">
        <v>441</v>
      </c>
    </row>
    <row r="127" spans="1:40" ht="60.75" customHeight="1" x14ac:dyDescent="0.2">
      <c r="A127" s="9" t="s">
        <v>57</v>
      </c>
      <c r="B127" s="10" t="s">
        <v>1</v>
      </c>
      <c r="C127" s="10" t="s">
        <v>58</v>
      </c>
      <c r="D127" s="115" t="s">
        <v>51</v>
      </c>
      <c r="E127" s="1" t="s">
        <v>128</v>
      </c>
      <c r="F127" s="1" t="s">
        <v>193</v>
      </c>
      <c r="G127" s="18" t="s">
        <v>1</v>
      </c>
      <c r="H127" s="11" t="s">
        <v>70</v>
      </c>
      <c r="I127" s="11">
        <v>47131700</v>
      </c>
      <c r="J127" s="1">
        <v>3</v>
      </c>
      <c r="K127" s="1">
        <v>3</v>
      </c>
      <c r="L127" s="1">
        <v>9</v>
      </c>
      <c r="M127" s="13">
        <v>1</v>
      </c>
      <c r="N127" s="11" t="s">
        <v>24</v>
      </c>
      <c r="O127" s="13" t="s">
        <v>330</v>
      </c>
      <c r="P127" s="152">
        <v>225000</v>
      </c>
      <c r="Q127" s="38">
        <v>0</v>
      </c>
      <c r="R127" s="38">
        <v>0</v>
      </c>
      <c r="S127" s="38" t="s">
        <v>331</v>
      </c>
      <c r="T127" s="38" t="s">
        <v>332</v>
      </c>
      <c r="U127" s="11" t="s">
        <v>22</v>
      </c>
      <c r="V127" s="11">
        <v>3846666</v>
      </c>
      <c r="W127" s="11" t="s">
        <v>23</v>
      </c>
      <c r="X127" s="11" t="s">
        <v>27</v>
      </c>
      <c r="Y127" s="11" t="s">
        <v>41</v>
      </c>
      <c r="Z127" s="11"/>
      <c r="AA127" s="11"/>
      <c r="AB127" s="158">
        <v>215150</v>
      </c>
      <c r="AC127" s="160">
        <f t="shared" si="39"/>
        <v>9850</v>
      </c>
      <c r="AD127" s="203">
        <v>8023</v>
      </c>
      <c r="AE127" s="241">
        <f>9850-8233.6</f>
        <v>1616.3999999999996</v>
      </c>
      <c r="AF127" s="224">
        <f t="shared" si="43"/>
        <v>8233.6</v>
      </c>
      <c r="AG127" s="263">
        <v>10623</v>
      </c>
      <c r="AH127" s="266">
        <v>45016</v>
      </c>
      <c r="AI127" s="413">
        <v>1616.4</v>
      </c>
      <c r="AJ127" s="262">
        <f t="shared" si="38"/>
        <v>8233.6</v>
      </c>
      <c r="AK127" s="263" t="s">
        <v>534</v>
      </c>
      <c r="AL127" s="263" t="s">
        <v>536</v>
      </c>
      <c r="AM127" s="387">
        <f>179.6+179.6</f>
        <v>359.2</v>
      </c>
      <c r="AN127" s="13" t="s">
        <v>441</v>
      </c>
    </row>
    <row r="128" spans="1:40" ht="60.75" customHeight="1" x14ac:dyDescent="0.2">
      <c r="A128" s="9" t="s">
        <v>57</v>
      </c>
      <c r="B128" s="10" t="s">
        <v>1</v>
      </c>
      <c r="C128" s="10" t="s">
        <v>58</v>
      </c>
      <c r="D128" s="115" t="s">
        <v>51</v>
      </c>
      <c r="E128" s="1" t="s">
        <v>128</v>
      </c>
      <c r="F128" s="1" t="s">
        <v>193</v>
      </c>
      <c r="G128" s="18" t="s">
        <v>1</v>
      </c>
      <c r="H128" s="11" t="s">
        <v>71</v>
      </c>
      <c r="I128" s="11">
        <v>47131800</v>
      </c>
      <c r="J128" s="1">
        <v>3</v>
      </c>
      <c r="K128" s="1">
        <v>3</v>
      </c>
      <c r="L128" s="1">
        <v>9</v>
      </c>
      <c r="M128" s="13">
        <v>1</v>
      </c>
      <c r="N128" s="11" t="s">
        <v>24</v>
      </c>
      <c r="O128" s="13" t="s">
        <v>330</v>
      </c>
      <c r="P128" s="152">
        <v>900000</v>
      </c>
      <c r="Q128" s="38">
        <v>0</v>
      </c>
      <c r="R128" s="38">
        <v>0</v>
      </c>
      <c r="S128" s="38" t="s">
        <v>331</v>
      </c>
      <c r="T128" s="38" t="s">
        <v>332</v>
      </c>
      <c r="U128" s="11" t="s">
        <v>22</v>
      </c>
      <c r="V128" s="11">
        <v>3846666</v>
      </c>
      <c r="W128" s="11" t="s">
        <v>23</v>
      </c>
      <c r="X128" s="11" t="s">
        <v>27</v>
      </c>
      <c r="Y128" s="11" t="s">
        <v>41</v>
      </c>
      <c r="Z128" s="11"/>
      <c r="AA128" s="11"/>
      <c r="AB128" s="158">
        <v>530686</v>
      </c>
      <c r="AC128" s="160">
        <f t="shared" si="39"/>
        <v>369314</v>
      </c>
      <c r="AD128" s="203">
        <v>8023</v>
      </c>
      <c r="AE128" s="241">
        <f>369314-168760.11</f>
        <v>200553.89</v>
      </c>
      <c r="AF128" s="224">
        <f t="shared" si="43"/>
        <v>168760.11</v>
      </c>
      <c r="AG128" s="263">
        <v>10623</v>
      </c>
      <c r="AH128" s="266">
        <v>45016</v>
      </c>
      <c r="AI128" s="413">
        <v>200553.89</v>
      </c>
      <c r="AJ128" s="262">
        <f t="shared" si="38"/>
        <v>168760.11</v>
      </c>
      <c r="AK128" s="263" t="s">
        <v>534</v>
      </c>
      <c r="AL128" s="263" t="s">
        <v>536</v>
      </c>
      <c r="AM128" s="387">
        <f>18771.5+3512.26+400.01+22283.77</f>
        <v>44967.54</v>
      </c>
      <c r="AN128" s="13" t="s">
        <v>441</v>
      </c>
    </row>
    <row r="129" spans="1:40" ht="78.75" customHeight="1" x14ac:dyDescent="0.2">
      <c r="A129" s="9" t="s">
        <v>60</v>
      </c>
      <c r="B129" s="10" t="s">
        <v>1</v>
      </c>
      <c r="C129" s="10" t="s">
        <v>61</v>
      </c>
      <c r="D129" s="115" t="s">
        <v>51</v>
      </c>
      <c r="E129" s="1" t="s">
        <v>128</v>
      </c>
      <c r="F129" s="1" t="s">
        <v>193</v>
      </c>
      <c r="G129" s="18" t="s">
        <v>1</v>
      </c>
      <c r="H129" s="11" t="s">
        <v>72</v>
      </c>
      <c r="I129" s="11" t="s">
        <v>73</v>
      </c>
      <c r="J129" s="1">
        <v>3</v>
      </c>
      <c r="K129" s="1">
        <v>3</v>
      </c>
      <c r="L129" s="1">
        <v>9</v>
      </c>
      <c r="M129" s="13">
        <v>1</v>
      </c>
      <c r="N129" s="11" t="s">
        <v>24</v>
      </c>
      <c r="O129" s="13" t="s">
        <v>330</v>
      </c>
      <c r="P129" s="152">
        <v>700000</v>
      </c>
      <c r="Q129" s="38">
        <v>0</v>
      </c>
      <c r="R129" s="38">
        <v>0</v>
      </c>
      <c r="S129" s="38" t="s">
        <v>331</v>
      </c>
      <c r="T129" s="38" t="s">
        <v>332</v>
      </c>
      <c r="U129" s="11" t="s">
        <v>22</v>
      </c>
      <c r="V129" s="11">
        <v>3846666</v>
      </c>
      <c r="W129" s="11" t="s">
        <v>23</v>
      </c>
      <c r="X129" s="11" t="s">
        <v>27</v>
      </c>
      <c r="Y129" s="11" t="s">
        <v>41</v>
      </c>
      <c r="Z129" s="11"/>
      <c r="AA129" s="11"/>
      <c r="AB129" s="158">
        <v>293916</v>
      </c>
      <c r="AC129" s="160">
        <f t="shared" si="39"/>
        <v>406084</v>
      </c>
      <c r="AD129" s="203">
        <v>8023</v>
      </c>
      <c r="AE129" s="241">
        <f>406084-257032.39</f>
        <v>149051.60999999999</v>
      </c>
      <c r="AF129" s="224">
        <f t="shared" si="43"/>
        <v>257032.39</v>
      </c>
      <c r="AG129" s="263">
        <v>10623</v>
      </c>
      <c r="AH129" s="266">
        <v>45016</v>
      </c>
      <c r="AI129" s="413">
        <v>149051.60999999999</v>
      </c>
      <c r="AJ129" s="262">
        <f t="shared" si="38"/>
        <v>257032.39</v>
      </c>
      <c r="AK129" s="263" t="s">
        <v>534</v>
      </c>
      <c r="AL129" s="263" t="s">
        <v>536</v>
      </c>
      <c r="AM129" s="387">
        <f>67651.1+10175.07</f>
        <v>77826.170000000013</v>
      </c>
      <c r="AN129" s="13" t="s">
        <v>441</v>
      </c>
    </row>
    <row r="130" spans="1:40" ht="50.1" customHeight="1" x14ac:dyDescent="0.2">
      <c r="A130" s="9" t="s">
        <v>74</v>
      </c>
      <c r="B130" s="10" t="s">
        <v>1</v>
      </c>
      <c r="C130" s="10" t="s">
        <v>75</v>
      </c>
      <c r="D130" s="166" t="s">
        <v>76</v>
      </c>
      <c r="E130" s="1" t="s">
        <v>128</v>
      </c>
      <c r="F130" s="1" t="s">
        <v>193</v>
      </c>
      <c r="G130" s="18" t="s">
        <v>1</v>
      </c>
      <c r="H130" s="11" t="s">
        <v>77</v>
      </c>
      <c r="I130" s="11" t="s">
        <v>1</v>
      </c>
      <c r="J130" s="13" t="s">
        <v>53</v>
      </c>
      <c r="K130" s="13" t="s">
        <v>53</v>
      </c>
      <c r="L130" s="13" t="s">
        <v>53</v>
      </c>
      <c r="M130" s="13" t="s">
        <v>53</v>
      </c>
      <c r="N130" s="11" t="s">
        <v>45</v>
      </c>
      <c r="O130" s="13" t="s">
        <v>330</v>
      </c>
      <c r="P130" s="152">
        <v>1200000</v>
      </c>
      <c r="Q130" s="38">
        <v>0</v>
      </c>
      <c r="R130" s="38">
        <v>0</v>
      </c>
      <c r="S130" s="38" t="s">
        <v>331</v>
      </c>
      <c r="T130" s="38" t="s">
        <v>332</v>
      </c>
      <c r="U130" s="11" t="s">
        <v>22</v>
      </c>
      <c r="V130" s="11">
        <v>3846666</v>
      </c>
      <c r="W130" s="11" t="s">
        <v>23</v>
      </c>
      <c r="X130" s="11" t="s">
        <v>46</v>
      </c>
      <c r="Y130" s="11" t="s">
        <v>41</v>
      </c>
      <c r="Z130" s="11"/>
      <c r="AA130" s="11"/>
      <c r="AB130" s="11"/>
      <c r="AC130" s="160">
        <f t="shared" si="39"/>
        <v>1200000</v>
      </c>
      <c r="AD130" s="237" t="s">
        <v>823</v>
      </c>
      <c r="AE130" s="204">
        <f>120000+29500+118000+35400+53100</f>
        <v>356000</v>
      </c>
      <c r="AF130" s="224">
        <f t="shared" si="43"/>
        <v>844000</v>
      </c>
      <c r="AG130" s="267" t="s">
        <v>824</v>
      </c>
      <c r="AH130" s="277" t="s">
        <v>825</v>
      </c>
      <c r="AI130" s="275">
        <f>120000+29500+118000+35400+53100</f>
        <v>356000</v>
      </c>
      <c r="AJ130" s="262">
        <f t="shared" si="38"/>
        <v>844000</v>
      </c>
      <c r="AK130" s="267" t="s">
        <v>826</v>
      </c>
      <c r="AL130" s="267" t="s">
        <v>46</v>
      </c>
      <c r="AM130" s="387">
        <f>120000+29500+118000+35400+53100</f>
        <v>356000</v>
      </c>
      <c r="AN130" s="12"/>
    </row>
    <row r="131" spans="1:40" ht="50.1" customHeight="1" x14ac:dyDescent="0.2">
      <c r="A131" s="9" t="s">
        <v>78</v>
      </c>
      <c r="B131" s="10" t="s">
        <v>1</v>
      </c>
      <c r="C131" s="10" t="s">
        <v>79</v>
      </c>
      <c r="D131" s="166" t="s">
        <v>76</v>
      </c>
      <c r="E131" s="1" t="s">
        <v>128</v>
      </c>
      <c r="F131" s="1" t="s">
        <v>193</v>
      </c>
      <c r="G131" s="18" t="s">
        <v>1</v>
      </c>
      <c r="H131" s="11" t="s">
        <v>80</v>
      </c>
      <c r="I131" s="11" t="s">
        <v>1</v>
      </c>
      <c r="J131" s="13" t="s">
        <v>53</v>
      </c>
      <c r="K131" s="13" t="s">
        <v>53</v>
      </c>
      <c r="L131" s="13" t="s">
        <v>53</v>
      </c>
      <c r="M131" s="13" t="s">
        <v>53</v>
      </c>
      <c r="N131" s="11" t="s">
        <v>45</v>
      </c>
      <c r="O131" s="13" t="s">
        <v>330</v>
      </c>
      <c r="P131" s="152">
        <v>34837262</v>
      </c>
      <c r="Q131" s="38">
        <v>0</v>
      </c>
      <c r="R131" s="38">
        <v>0</v>
      </c>
      <c r="S131" s="38" t="s">
        <v>331</v>
      </c>
      <c r="T131" s="38" t="s">
        <v>332</v>
      </c>
      <c r="U131" s="11" t="s">
        <v>22</v>
      </c>
      <c r="V131" s="11">
        <v>3846666</v>
      </c>
      <c r="W131" s="11" t="s">
        <v>23</v>
      </c>
      <c r="X131" s="11" t="s">
        <v>26</v>
      </c>
      <c r="Y131" s="11" t="s">
        <v>41</v>
      </c>
      <c r="Z131" s="11"/>
      <c r="AA131" s="11"/>
      <c r="AB131" s="158">
        <v>806837</v>
      </c>
      <c r="AC131" s="160">
        <f t="shared" si="39"/>
        <v>34030425</v>
      </c>
      <c r="AD131" s="237" t="s">
        <v>686</v>
      </c>
      <c r="AE131" s="204">
        <f>3618580+4094090+4346140+4132810+4603170</f>
        <v>20794790</v>
      </c>
      <c r="AF131" s="224">
        <f t="shared" si="43"/>
        <v>13235635</v>
      </c>
      <c r="AG131" s="267" t="s">
        <v>687</v>
      </c>
      <c r="AH131" s="277" t="s">
        <v>688</v>
      </c>
      <c r="AI131" s="413">
        <f>3618580+4094090+4346140+4132810+4603170</f>
        <v>20794790</v>
      </c>
      <c r="AJ131" s="262">
        <f t="shared" si="38"/>
        <v>13235635</v>
      </c>
      <c r="AK131" s="263" t="s">
        <v>53</v>
      </c>
      <c r="AL131" s="267" t="s">
        <v>498</v>
      </c>
      <c r="AM131" s="381">
        <f>3618580+4094090+4346140+4132810+4603170</f>
        <v>20794790</v>
      </c>
      <c r="AN131" s="13" t="s">
        <v>441</v>
      </c>
    </row>
    <row r="132" spans="1:40" ht="50.1" customHeight="1" x14ac:dyDescent="0.2">
      <c r="A132" s="9" t="s">
        <v>78</v>
      </c>
      <c r="B132" s="10" t="s">
        <v>1</v>
      </c>
      <c r="C132" s="10" t="s">
        <v>79</v>
      </c>
      <c r="D132" s="166" t="s">
        <v>76</v>
      </c>
      <c r="E132" s="1" t="s">
        <v>128</v>
      </c>
      <c r="F132" s="1" t="s">
        <v>193</v>
      </c>
      <c r="G132" s="18" t="s">
        <v>1</v>
      </c>
      <c r="H132" s="11" t="s">
        <v>80</v>
      </c>
      <c r="I132" s="11" t="s">
        <v>1</v>
      </c>
      <c r="J132" s="13" t="s">
        <v>53</v>
      </c>
      <c r="K132" s="13" t="s">
        <v>53</v>
      </c>
      <c r="L132" s="13" t="s">
        <v>53</v>
      </c>
      <c r="M132" s="13" t="s">
        <v>53</v>
      </c>
      <c r="N132" s="11" t="s">
        <v>45</v>
      </c>
      <c r="O132" s="13" t="s">
        <v>405</v>
      </c>
      <c r="P132" s="152">
        <v>15000000</v>
      </c>
      <c r="Q132" s="38">
        <v>0</v>
      </c>
      <c r="R132" s="38">
        <v>0</v>
      </c>
      <c r="S132" s="38" t="s">
        <v>331</v>
      </c>
      <c r="T132" s="38" t="s">
        <v>332</v>
      </c>
      <c r="U132" s="11" t="s">
        <v>22</v>
      </c>
      <c r="V132" s="11">
        <v>3846666</v>
      </c>
      <c r="W132" s="11" t="s">
        <v>23</v>
      </c>
      <c r="X132" s="11" t="s">
        <v>26</v>
      </c>
      <c r="Y132" s="11" t="s">
        <v>41</v>
      </c>
      <c r="Z132" s="11"/>
      <c r="AA132" s="11"/>
      <c r="AB132" s="158">
        <v>12000000</v>
      </c>
      <c r="AC132" s="160">
        <f t="shared" si="39"/>
        <v>3000000</v>
      </c>
      <c r="AD132" s="243"/>
      <c r="AE132" s="251"/>
      <c r="AF132" s="242">
        <f t="shared" si="43"/>
        <v>3000000</v>
      </c>
      <c r="AG132" s="265"/>
      <c r="AH132" s="265"/>
      <c r="AI132" s="414"/>
      <c r="AJ132" s="258">
        <f t="shared" si="38"/>
        <v>3000000</v>
      </c>
      <c r="AK132" s="265"/>
      <c r="AL132" s="265"/>
      <c r="AM132" s="305"/>
      <c r="AN132" s="243" t="s">
        <v>441</v>
      </c>
    </row>
    <row r="133" spans="1:40" ht="50.1" customHeight="1" x14ac:dyDescent="0.2">
      <c r="A133" s="9" t="s">
        <v>78</v>
      </c>
      <c r="B133" s="10" t="s">
        <v>1</v>
      </c>
      <c r="C133" s="10" t="s">
        <v>79</v>
      </c>
      <c r="D133" s="166" t="s">
        <v>76</v>
      </c>
      <c r="E133" s="1" t="s">
        <v>128</v>
      </c>
      <c r="F133" s="1" t="s">
        <v>193</v>
      </c>
      <c r="G133" s="18" t="s">
        <v>1</v>
      </c>
      <c r="H133" s="11" t="s">
        <v>81</v>
      </c>
      <c r="I133" s="11" t="s">
        <v>1</v>
      </c>
      <c r="J133" s="13" t="s">
        <v>53</v>
      </c>
      <c r="K133" s="13" t="s">
        <v>53</v>
      </c>
      <c r="L133" s="13" t="s">
        <v>53</v>
      </c>
      <c r="M133" s="13" t="s">
        <v>53</v>
      </c>
      <c r="N133" s="11" t="s">
        <v>45</v>
      </c>
      <c r="O133" s="13" t="s">
        <v>330</v>
      </c>
      <c r="P133" s="152">
        <v>3500000</v>
      </c>
      <c r="Q133" s="38">
        <v>0</v>
      </c>
      <c r="R133" s="38">
        <v>0</v>
      </c>
      <c r="S133" s="38" t="s">
        <v>331</v>
      </c>
      <c r="T133" s="38" t="s">
        <v>332</v>
      </c>
      <c r="U133" s="11" t="s">
        <v>22</v>
      </c>
      <c r="V133" s="11">
        <v>3846666</v>
      </c>
      <c r="W133" s="11" t="s">
        <v>23</v>
      </c>
      <c r="X133" s="11" t="s">
        <v>26</v>
      </c>
      <c r="Y133" s="11" t="s">
        <v>41</v>
      </c>
      <c r="Z133" s="11"/>
      <c r="AA133" s="11"/>
      <c r="AB133" s="11"/>
      <c r="AC133" s="160">
        <f t="shared" si="39"/>
        <v>3500000</v>
      </c>
      <c r="AD133" s="237" t="s">
        <v>689</v>
      </c>
      <c r="AE133" s="204">
        <f>128530+383870+529940+466980+288710</f>
        <v>1798030</v>
      </c>
      <c r="AF133" s="224">
        <f t="shared" si="43"/>
        <v>1701970</v>
      </c>
      <c r="AG133" s="267" t="s">
        <v>690</v>
      </c>
      <c r="AH133" s="277" t="s">
        <v>691</v>
      </c>
      <c r="AI133" s="413">
        <f>128530+383870+529940+466980+288710</f>
        <v>1798030</v>
      </c>
      <c r="AJ133" s="262">
        <f t="shared" si="38"/>
        <v>1701970</v>
      </c>
      <c r="AK133" s="263" t="s">
        <v>53</v>
      </c>
      <c r="AL133" s="267" t="s">
        <v>499</v>
      </c>
      <c r="AM133" s="382">
        <f>128530+383870+529940+466980+288710</f>
        <v>1798030</v>
      </c>
      <c r="AN133" s="12"/>
    </row>
    <row r="134" spans="1:40" ht="50.1" customHeight="1" x14ac:dyDescent="0.2">
      <c r="A134" s="9" t="s">
        <v>78</v>
      </c>
      <c r="B134" s="10" t="s">
        <v>1</v>
      </c>
      <c r="C134" s="10" t="s">
        <v>79</v>
      </c>
      <c r="D134" s="166" t="s">
        <v>76</v>
      </c>
      <c r="E134" s="1" t="s">
        <v>128</v>
      </c>
      <c r="F134" s="1" t="s">
        <v>193</v>
      </c>
      <c r="G134" s="18" t="s">
        <v>1</v>
      </c>
      <c r="H134" s="11" t="s">
        <v>81</v>
      </c>
      <c r="I134" s="11" t="s">
        <v>1</v>
      </c>
      <c r="J134" s="13" t="s">
        <v>53</v>
      </c>
      <c r="K134" s="13" t="s">
        <v>53</v>
      </c>
      <c r="L134" s="13" t="s">
        <v>53</v>
      </c>
      <c r="M134" s="13" t="s">
        <v>53</v>
      </c>
      <c r="N134" s="11" t="s">
        <v>45</v>
      </c>
      <c r="O134" s="13" t="s">
        <v>405</v>
      </c>
      <c r="P134" s="152">
        <v>3000000</v>
      </c>
      <c r="Q134" s="38">
        <v>0</v>
      </c>
      <c r="R134" s="38">
        <v>0</v>
      </c>
      <c r="S134" s="38" t="s">
        <v>331</v>
      </c>
      <c r="T134" s="38" t="s">
        <v>332</v>
      </c>
      <c r="U134" s="11" t="s">
        <v>22</v>
      </c>
      <c r="V134" s="11">
        <v>3846666</v>
      </c>
      <c r="W134" s="11" t="s">
        <v>23</v>
      </c>
      <c r="X134" s="11" t="s">
        <v>26</v>
      </c>
      <c r="Y134" s="11" t="s">
        <v>41</v>
      </c>
      <c r="Z134" s="11"/>
      <c r="AA134" s="11"/>
      <c r="AB134" s="11"/>
      <c r="AC134" s="160">
        <f t="shared" si="39"/>
        <v>3000000</v>
      </c>
      <c r="AD134" s="243"/>
      <c r="AE134" s="251"/>
      <c r="AF134" s="242">
        <f t="shared" si="43"/>
        <v>3000000</v>
      </c>
      <c r="AG134" s="265"/>
      <c r="AH134" s="265"/>
      <c r="AI134" s="414"/>
      <c r="AJ134" s="258">
        <f t="shared" si="38"/>
        <v>3000000</v>
      </c>
      <c r="AK134" s="265"/>
      <c r="AL134" s="265"/>
      <c r="AM134" s="305"/>
      <c r="AN134" s="245"/>
    </row>
    <row r="135" spans="1:40" ht="50.1" customHeight="1" x14ac:dyDescent="0.2">
      <c r="A135" s="9" t="s">
        <v>82</v>
      </c>
      <c r="B135" s="10" t="s">
        <v>1</v>
      </c>
      <c r="C135" s="10" t="s">
        <v>83</v>
      </c>
      <c r="D135" s="167" t="s">
        <v>84</v>
      </c>
      <c r="E135" s="1" t="s">
        <v>128</v>
      </c>
      <c r="F135" s="1" t="s">
        <v>193</v>
      </c>
      <c r="G135" s="18" t="s">
        <v>1</v>
      </c>
      <c r="H135" s="11" t="s">
        <v>85</v>
      </c>
      <c r="I135" s="11">
        <v>84131501</v>
      </c>
      <c r="J135" s="13">
        <v>11</v>
      </c>
      <c r="K135" s="13">
        <v>11</v>
      </c>
      <c r="L135" s="13">
        <v>2</v>
      </c>
      <c r="M135" s="13">
        <v>1</v>
      </c>
      <c r="N135" s="11" t="s">
        <v>86</v>
      </c>
      <c r="O135" s="13" t="s">
        <v>330</v>
      </c>
      <c r="P135" s="152">
        <v>6000000</v>
      </c>
      <c r="Q135" s="38">
        <v>0</v>
      </c>
      <c r="R135" s="38">
        <v>0</v>
      </c>
      <c r="S135" s="38" t="s">
        <v>331</v>
      </c>
      <c r="T135" s="38" t="s">
        <v>332</v>
      </c>
      <c r="U135" s="11" t="s">
        <v>22</v>
      </c>
      <c r="V135" s="11">
        <v>3846666</v>
      </c>
      <c r="W135" s="11" t="s">
        <v>23</v>
      </c>
      <c r="X135" s="11" t="s">
        <v>26</v>
      </c>
      <c r="Y135" s="11" t="s">
        <v>41</v>
      </c>
      <c r="Z135" s="11"/>
      <c r="AA135" s="11"/>
      <c r="AB135" s="11"/>
      <c r="AC135" s="160">
        <f t="shared" si="39"/>
        <v>6000000</v>
      </c>
      <c r="AD135" s="243"/>
      <c r="AE135" s="251"/>
      <c r="AF135" s="242">
        <f t="shared" si="43"/>
        <v>6000000</v>
      </c>
      <c r="AG135" s="265"/>
      <c r="AH135" s="265"/>
      <c r="AI135" s="414"/>
      <c r="AJ135" s="258">
        <f t="shared" si="38"/>
        <v>6000000</v>
      </c>
      <c r="AK135" s="265"/>
      <c r="AL135" s="265"/>
      <c r="AM135" s="305"/>
      <c r="AN135" s="245"/>
    </row>
    <row r="136" spans="1:40" ht="50.1" customHeight="1" x14ac:dyDescent="0.2">
      <c r="A136" s="9" t="s">
        <v>82</v>
      </c>
      <c r="B136" s="10" t="s">
        <v>1</v>
      </c>
      <c r="C136" s="10" t="s">
        <v>83</v>
      </c>
      <c r="D136" s="167" t="s">
        <v>84</v>
      </c>
      <c r="E136" s="1" t="s">
        <v>128</v>
      </c>
      <c r="F136" s="1" t="s">
        <v>193</v>
      </c>
      <c r="G136" s="18" t="s">
        <v>1</v>
      </c>
      <c r="H136" s="11" t="s">
        <v>87</v>
      </c>
      <c r="I136" s="11">
        <v>84131501</v>
      </c>
      <c r="J136" s="13">
        <v>1</v>
      </c>
      <c r="K136" s="13">
        <v>1</v>
      </c>
      <c r="L136" s="13">
        <v>11</v>
      </c>
      <c r="M136" s="13">
        <v>1</v>
      </c>
      <c r="N136" s="11" t="s">
        <v>86</v>
      </c>
      <c r="O136" s="13" t="s">
        <v>330</v>
      </c>
      <c r="P136" s="152">
        <v>53814203</v>
      </c>
      <c r="Q136" s="13">
        <v>1</v>
      </c>
      <c r="R136" s="13">
        <v>3</v>
      </c>
      <c r="S136" s="38" t="s">
        <v>331</v>
      </c>
      <c r="T136" s="38" t="s">
        <v>332</v>
      </c>
      <c r="U136" s="11" t="s">
        <v>22</v>
      </c>
      <c r="V136" s="11">
        <v>3846666</v>
      </c>
      <c r="W136" s="11" t="s">
        <v>23</v>
      </c>
      <c r="X136" s="11" t="s">
        <v>26</v>
      </c>
      <c r="Y136" s="11" t="s">
        <v>41</v>
      </c>
      <c r="Z136" s="11"/>
      <c r="AA136" s="11"/>
      <c r="AB136" s="11"/>
      <c r="AC136" s="160">
        <f t="shared" si="39"/>
        <v>53814203</v>
      </c>
      <c r="AD136" s="203">
        <v>323</v>
      </c>
      <c r="AE136" s="204">
        <v>53751126</v>
      </c>
      <c r="AF136" s="224">
        <f t="shared" si="43"/>
        <v>63077</v>
      </c>
      <c r="AG136" s="263">
        <v>323</v>
      </c>
      <c r="AH136" s="266">
        <v>44932</v>
      </c>
      <c r="AI136" s="413">
        <v>53751126</v>
      </c>
      <c r="AJ136" s="262">
        <f t="shared" si="38"/>
        <v>63077</v>
      </c>
      <c r="AK136" s="263" t="s">
        <v>466</v>
      </c>
      <c r="AL136" s="267" t="s">
        <v>465</v>
      </c>
      <c r="AM136" s="385">
        <f>45898607+154700</f>
        <v>46053307</v>
      </c>
      <c r="AN136" s="12"/>
    </row>
    <row r="137" spans="1:40" ht="78" customHeight="1" x14ac:dyDescent="0.2">
      <c r="A137" s="9" t="s">
        <v>88</v>
      </c>
      <c r="B137" s="10" t="s">
        <v>1</v>
      </c>
      <c r="C137" s="10" t="s">
        <v>318</v>
      </c>
      <c r="D137" s="168" t="s">
        <v>18</v>
      </c>
      <c r="E137" s="18" t="s">
        <v>195</v>
      </c>
      <c r="F137" s="18" t="s">
        <v>196</v>
      </c>
      <c r="G137" s="18" t="s">
        <v>1</v>
      </c>
      <c r="H137" s="1" t="s">
        <v>89</v>
      </c>
      <c r="I137" s="11" t="s">
        <v>1</v>
      </c>
      <c r="J137" s="13" t="s">
        <v>53</v>
      </c>
      <c r="K137" s="13" t="s">
        <v>53</v>
      </c>
      <c r="L137" s="13" t="s">
        <v>53</v>
      </c>
      <c r="M137" s="13" t="s">
        <v>53</v>
      </c>
      <c r="N137" s="11" t="s">
        <v>45</v>
      </c>
      <c r="O137" s="273" t="s">
        <v>330</v>
      </c>
      <c r="P137" s="152">
        <f>40000*11</f>
        <v>440000</v>
      </c>
      <c r="Q137" s="38">
        <v>0</v>
      </c>
      <c r="R137" s="38">
        <v>0</v>
      </c>
      <c r="S137" s="38" t="s">
        <v>331</v>
      </c>
      <c r="T137" s="38" t="s">
        <v>332</v>
      </c>
      <c r="U137" s="11" t="s">
        <v>22</v>
      </c>
      <c r="V137" s="11">
        <v>3846666</v>
      </c>
      <c r="W137" s="11" t="s">
        <v>23</v>
      </c>
      <c r="X137" s="1" t="s">
        <v>46</v>
      </c>
      <c r="Y137" s="1" t="s">
        <v>41</v>
      </c>
      <c r="Z137" s="11"/>
      <c r="AA137" s="11"/>
      <c r="AB137" s="11"/>
      <c r="AC137" s="22">
        <f t="shared" si="39"/>
        <v>440000</v>
      </c>
      <c r="AD137" s="207">
        <v>3823</v>
      </c>
      <c r="AE137" s="357">
        <v>44000</v>
      </c>
      <c r="AF137" s="232">
        <f t="shared" si="43"/>
        <v>396000</v>
      </c>
      <c r="AG137" s="263">
        <v>4123</v>
      </c>
      <c r="AH137" s="266">
        <v>44971</v>
      </c>
      <c r="AI137" s="413">
        <v>44000</v>
      </c>
      <c r="AJ137" s="262">
        <f t="shared" si="38"/>
        <v>396000</v>
      </c>
      <c r="AK137" s="267" t="s">
        <v>500</v>
      </c>
      <c r="AL137" s="267" t="s">
        <v>46</v>
      </c>
      <c r="AM137" s="319">
        <v>44000</v>
      </c>
      <c r="AN137" s="12"/>
    </row>
    <row r="138" spans="1:40" ht="120.75" customHeight="1" x14ac:dyDescent="0.2">
      <c r="A138" s="9" t="s">
        <v>90</v>
      </c>
      <c r="B138" s="10" t="s">
        <v>1</v>
      </c>
      <c r="C138" s="10" t="s">
        <v>91</v>
      </c>
      <c r="D138" s="168" t="s">
        <v>18</v>
      </c>
      <c r="E138" s="18" t="s">
        <v>128</v>
      </c>
      <c r="F138" s="1" t="s">
        <v>193</v>
      </c>
      <c r="G138" s="18" t="s">
        <v>1</v>
      </c>
      <c r="H138" s="1" t="s">
        <v>92</v>
      </c>
      <c r="I138" s="11">
        <v>80111600</v>
      </c>
      <c r="J138" s="13">
        <v>2</v>
      </c>
      <c r="K138" s="13">
        <v>2</v>
      </c>
      <c r="L138" s="13">
        <v>11</v>
      </c>
      <c r="M138" s="13">
        <v>1</v>
      </c>
      <c r="N138" s="11" t="s">
        <v>25</v>
      </c>
      <c r="O138" s="273" t="s">
        <v>330</v>
      </c>
      <c r="P138" s="152">
        <v>28605766</v>
      </c>
      <c r="Q138" s="38">
        <v>0</v>
      </c>
      <c r="R138" s="38">
        <v>0</v>
      </c>
      <c r="S138" s="38" t="s">
        <v>331</v>
      </c>
      <c r="T138" s="38" t="s">
        <v>332</v>
      </c>
      <c r="U138" s="11" t="s">
        <v>22</v>
      </c>
      <c r="V138" s="11">
        <v>3846666</v>
      </c>
      <c r="W138" s="11" t="s">
        <v>23</v>
      </c>
      <c r="X138" s="1" t="s">
        <v>524</v>
      </c>
      <c r="Y138" s="1" t="s">
        <v>41</v>
      </c>
      <c r="Z138" s="11"/>
      <c r="AA138" s="11"/>
      <c r="AB138" s="158">
        <v>23562565</v>
      </c>
      <c r="AC138" s="22">
        <f t="shared" si="39"/>
        <v>5043201</v>
      </c>
      <c r="AD138" s="265"/>
      <c r="AE138" s="419"/>
      <c r="AF138" s="258">
        <f>+AC138-AE138</f>
        <v>5043201</v>
      </c>
      <c r="AG138" s="265"/>
      <c r="AH138" s="265"/>
      <c r="AI138" s="414"/>
      <c r="AJ138" s="258">
        <f t="shared" si="38"/>
        <v>5043201</v>
      </c>
      <c r="AK138" s="265"/>
      <c r="AL138" s="265"/>
      <c r="AM138" s="306"/>
      <c r="AN138" s="243" t="s">
        <v>588</v>
      </c>
    </row>
    <row r="139" spans="1:40" ht="120.75" customHeight="1" x14ac:dyDescent="0.2">
      <c r="A139" s="9" t="s">
        <v>90</v>
      </c>
      <c r="B139" s="10" t="s">
        <v>1</v>
      </c>
      <c r="C139" s="10" t="s">
        <v>91</v>
      </c>
      <c r="D139" s="168" t="s">
        <v>18</v>
      </c>
      <c r="E139" s="18" t="s">
        <v>127</v>
      </c>
      <c r="F139" s="1" t="s">
        <v>193</v>
      </c>
      <c r="G139" s="18" t="s">
        <v>1</v>
      </c>
      <c r="H139" s="1" t="s">
        <v>93</v>
      </c>
      <c r="I139" s="11">
        <v>80111600</v>
      </c>
      <c r="J139" s="13">
        <v>1</v>
      </c>
      <c r="K139" s="13">
        <v>1</v>
      </c>
      <c r="L139" s="3" t="s">
        <v>423</v>
      </c>
      <c r="M139" s="13">
        <v>0</v>
      </c>
      <c r="N139" s="11" t="s">
        <v>25</v>
      </c>
      <c r="O139" s="273" t="s">
        <v>330</v>
      </c>
      <c r="P139" s="152">
        <v>33404234</v>
      </c>
      <c r="Q139" s="38">
        <v>0</v>
      </c>
      <c r="R139" s="38">
        <v>0</v>
      </c>
      <c r="S139" s="38" t="s">
        <v>331</v>
      </c>
      <c r="T139" s="38" t="s">
        <v>332</v>
      </c>
      <c r="U139" s="11" t="s">
        <v>22</v>
      </c>
      <c r="V139" s="11">
        <v>3846666</v>
      </c>
      <c r="W139" s="11" t="s">
        <v>23</v>
      </c>
      <c r="X139" s="1" t="s">
        <v>524</v>
      </c>
      <c r="Y139" s="1" t="s">
        <v>41</v>
      </c>
      <c r="Z139" s="11"/>
      <c r="AA139" s="158">
        <v>3000174</v>
      </c>
      <c r="AB139" s="11"/>
      <c r="AC139" s="22">
        <f t="shared" si="39"/>
        <v>36404408</v>
      </c>
      <c r="AD139" s="231" t="s">
        <v>635</v>
      </c>
      <c r="AE139" s="420">
        <f>12736236+23562776</f>
        <v>36299012</v>
      </c>
      <c r="AF139" s="232">
        <f>+AC139-AE139</f>
        <v>105396</v>
      </c>
      <c r="AG139" s="267" t="s">
        <v>653</v>
      </c>
      <c r="AH139" s="277" t="s">
        <v>654</v>
      </c>
      <c r="AI139" s="413">
        <f>12736236+23562776</f>
        <v>36299012</v>
      </c>
      <c r="AJ139" s="262">
        <f t="shared" si="38"/>
        <v>105396</v>
      </c>
      <c r="AK139" s="267" t="s">
        <v>655</v>
      </c>
      <c r="AL139" s="267" t="s">
        <v>455</v>
      </c>
      <c r="AM139" s="388">
        <f>1379759+3184059+3184059+3184059+1804300+1273663</f>
        <v>14009899</v>
      </c>
      <c r="AN139" s="13" t="s">
        <v>588</v>
      </c>
    </row>
    <row r="140" spans="1:40" ht="204" customHeight="1" x14ac:dyDescent="0.2">
      <c r="A140" s="9" t="s">
        <v>90</v>
      </c>
      <c r="B140" s="10" t="s">
        <v>1</v>
      </c>
      <c r="C140" s="10" t="s">
        <v>91</v>
      </c>
      <c r="D140" s="168" t="s">
        <v>18</v>
      </c>
      <c r="E140" s="18" t="s">
        <v>127</v>
      </c>
      <c r="F140" s="1" t="s">
        <v>193</v>
      </c>
      <c r="G140" s="18" t="s">
        <v>1</v>
      </c>
      <c r="H140" s="1" t="s">
        <v>589</v>
      </c>
      <c r="I140" s="11">
        <v>80111600</v>
      </c>
      <c r="J140" s="13">
        <v>5</v>
      </c>
      <c r="K140" s="13">
        <v>5</v>
      </c>
      <c r="L140" s="3" t="s">
        <v>590</v>
      </c>
      <c r="M140" s="13">
        <v>0</v>
      </c>
      <c r="N140" s="11" t="s">
        <v>25</v>
      </c>
      <c r="O140" s="273" t="s">
        <v>330</v>
      </c>
      <c r="P140" s="152">
        <v>0</v>
      </c>
      <c r="Q140" s="38">
        <v>0</v>
      </c>
      <c r="R140" s="38">
        <v>0</v>
      </c>
      <c r="S140" s="38" t="s">
        <v>331</v>
      </c>
      <c r="T140" s="38" t="s">
        <v>332</v>
      </c>
      <c r="U140" s="11" t="s">
        <v>22</v>
      </c>
      <c r="V140" s="11">
        <v>3846666</v>
      </c>
      <c r="W140" s="11" t="s">
        <v>23</v>
      </c>
      <c r="X140" s="1" t="s">
        <v>524</v>
      </c>
      <c r="Y140" s="1" t="s">
        <v>41</v>
      </c>
      <c r="Z140" s="158">
        <v>23700600</v>
      </c>
      <c r="AA140" s="158"/>
      <c r="AB140" s="11"/>
      <c r="AC140" s="22">
        <f t="shared" ref="AC140" si="44">P140+Z140+AA140-AB140</f>
        <v>23700600</v>
      </c>
      <c r="AD140" s="231">
        <v>12923</v>
      </c>
      <c r="AE140" s="420">
        <v>23700600</v>
      </c>
      <c r="AF140" s="232">
        <f>+AC140-AE140</f>
        <v>0</v>
      </c>
      <c r="AG140" s="263">
        <v>15023</v>
      </c>
      <c r="AH140" s="266">
        <v>45056</v>
      </c>
      <c r="AI140" s="413">
        <v>23700600</v>
      </c>
      <c r="AJ140" s="262">
        <f t="shared" ref="AJ140" si="45">+AC140-AI140</f>
        <v>0</v>
      </c>
      <c r="AK140" s="263" t="s">
        <v>641</v>
      </c>
      <c r="AL140" s="267" t="s">
        <v>640</v>
      </c>
      <c r="AM140" s="388">
        <v>2154600</v>
      </c>
      <c r="AN140" s="13" t="s">
        <v>588</v>
      </c>
    </row>
    <row r="141" spans="1:40" ht="205.5" customHeight="1" x14ac:dyDescent="0.2">
      <c r="A141" s="9" t="s">
        <v>90</v>
      </c>
      <c r="B141" s="10" t="s">
        <v>1</v>
      </c>
      <c r="C141" s="10" t="s">
        <v>91</v>
      </c>
      <c r="D141" s="168" t="s">
        <v>18</v>
      </c>
      <c r="E141" s="18" t="s">
        <v>127</v>
      </c>
      <c r="F141" s="1" t="s">
        <v>193</v>
      </c>
      <c r="G141" s="18" t="s">
        <v>1</v>
      </c>
      <c r="H141" s="1" t="s">
        <v>457</v>
      </c>
      <c r="I141" s="11">
        <v>80111600</v>
      </c>
      <c r="J141" s="13">
        <v>1</v>
      </c>
      <c r="K141" s="13">
        <v>1</v>
      </c>
      <c r="L141" s="3" t="s">
        <v>422</v>
      </c>
      <c r="M141" s="13">
        <v>0</v>
      </c>
      <c r="N141" s="11" t="s">
        <v>25</v>
      </c>
      <c r="O141" s="273" t="s">
        <v>330</v>
      </c>
      <c r="P141" s="152">
        <f>3355426*11.5</f>
        <v>38587399</v>
      </c>
      <c r="Q141" s="38">
        <v>0</v>
      </c>
      <c r="R141" s="38">
        <v>0</v>
      </c>
      <c r="S141" s="38" t="s">
        <v>331</v>
      </c>
      <c r="T141" s="38" t="s">
        <v>332</v>
      </c>
      <c r="U141" s="11" t="s">
        <v>22</v>
      </c>
      <c r="V141" s="11">
        <v>3846666</v>
      </c>
      <c r="W141" s="11" t="s">
        <v>23</v>
      </c>
      <c r="X141" s="1" t="s">
        <v>524</v>
      </c>
      <c r="Y141" s="1" t="s">
        <v>41</v>
      </c>
      <c r="Z141" s="11"/>
      <c r="AA141" s="11"/>
      <c r="AB141" s="158">
        <f>3000174+138035</f>
        <v>3138209</v>
      </c>
      <c r="AC141" s="22">
        <f t="shared" si="39"/>
        <v>35449190</v>
      </c>
      <c r="AD141" s="231" t="s">
        <v>622</v>
      </c>
      <c r="AE141" s="420">
        <f>12736236+22288413</f>
        <v>35024649</v>
      </c>
      <c r="AF141" s="232">
        <f>+AC141-AE141</f>
        <v>424541</v>
      </c>
      <c r="AG141" s="263" t="s">
        <v>700</v>
      </c>
      <c r="AH141" s="277" t="s">
        <v>701</v>
      </c>
      <c r="AI141" s="413">
        <f>12736236+22288413</f>
        <v>35024649</v>
      </c>
      <c r="AJ141" s="262">
        <f t="shared" si="38"/>
        <v>424541</v>
      </c>
      <c r="AK141" s="267" t="s">
        <v>702</v>
      </c>
      <c r="AL141" s="267" t="s">
        <v>463</v>
      </c>
      <c r="AM141" s="320">
        <f>424541+3184059+3184059+3184059+2759518</f>
        <v>12736236</v>
      </c>
      <c r="AN141" s="11" t="s">
        <v>591</v>
      </c>
    </row>
    <row r="142" spans="1:40" ht="84" customHeight="1" x14ac:dyDescent="0.2">
      <c r="A142" s="9" t="s">
        <v>90</v>
      </c>
      <c r="B142" s="10" t="s">
        <v>1</v>
      </c>
      <c r="C142" s="10" t="s">
        <v>91</v>
      </c>
      <c r="D142" s="168" t="s">
        <v>18</v>
      </c>
      <c r="E142" s="18" t="s">
        <v>127</v>
      </c>
      <c r="F142" s="1" t="s">
        <v>193</v>
      </c>
      <c r="G142" s="18" t="s">
        <v>1</v>
      </c>
      <c r="H142" s="1" t="s">
        <v>94</v>
      </c>
      <c r="I142" s="11">
        <v>80111600</v>
      </c>
      <c r="J142" s="13" t="s">
        <v>53</v>
      </c>
      <c r="K142" s="13" t="s">
        <v>53</v>
      </c>
      <c r="L142" s="13" t="s">
        <v>53</v>
      </c>
      <c r="M142" s="13" t="s">
        <v>53</v>
      </c>
      <c r="N142" s="11" t="s">
        <v>25</v>
      </c>
      <c r="O142" s="273" t="s">
        <v>330</v>
      </c>
      <c r="P142" s="152">
        <v>3000000</v>
      </c>
      <c r="Q142" s="38">
        <v>0</v>
      </c>
      <c r="R142" s="38">
        <v>0</v>
      </c>
      <c r="S142" s="38" t="s">
        <v>331</v>
      </c>
      <c r="T142" s="38" t="s">
        <v>332</v>
      </c>
      <c r="U142" s="11" t="s">
        <v>22</v>
      </c>
      <c r="V142" s="11">
        <v>3846666</v>
      </c>
      <c r="W142" s="11" t="s">
        <v>23</v>
      </c>
      <c r="X142" s="1" t="s">
        <v>26</v>
      </c>
      <c r="Y142" s="1" t="s">
        <v>41</v>
      </c>
      <c r="Z142" s="11"/>
      <c r="AA142" s="11"/>
      <c r="AB142" s="11"/>
      <c r="AC142" s="22">
        <f t="shared" si="39"/>
        <v>3000000</v>
      </c>
      <c r="AD142" s="231">
        <v>9023</v>
      </c>
      <c r="AE142" s="420">
        <v>3000000</v>
      </c>
      <c r="AF142" s="232">
        <f t="shared" si="43"/>
        <v>0</v>
      </c>
      <c r="AG142" s="263" t="s">
        <v>755</v>
      </c>
      <c r="AH142" s="277" t="s">
        <v>756</v>
      </c>
      <c r="AI142" s="413">
        <f>621087+621087</f>
        <v>1242174</v>
      </c>
      <c r="AJ142" s="262">
        <f>+AC142-AI142</f>
        <v>1757826</v>
      </c>
      <c r="AK142" s="263" t="s">
        <v>53</v>
      </c>
      <c r="AL142" s="266" t="s">
        <v>528</v>
      </c>
      <c r="AM142" s="319">
        <f>621087+621087</f>
        <v>1242174</v>
      </c>
      <c r="AN142" s="12"/>
    </row>
    <row r="143" spans="1:40" ht="106.5" customHeight="1" x14ac:dyDescent="0.2">
      <c r="A143" s="9" t="s">
        <v>90</v>
      </c>
      <c r="B143" s="10" t="s">
        <v>1</v>
      </c>
      <c r="C143" s="10" t="s">
        <v>91</v>
      </c>
      <c r="D143" s="168" t="s">
        <v>18</v>
      </c>
      <c r="E143" s="18" t="s">
        <v>127</v>
      </c>
      <c r="F143" s="1" t="s">
        <v>193</v>
      </c>
      <c r="G143" s="18" t="s">
        <v>1</v>
      </c>
      <c r="H143" s="1" t="s">
        <v>95</v>
      </c>
      <c r="I143" s="11">
        <v>80111600</v>
      </c>
      <c r="J143" s="13">
        <v>2</v>
      </c>
      <c r="K143" s="13">
        <v>2</v>
      </c>
      <c r="L143" s="13">
        <v>2</v>
      </c>
      <c r="M143" s="13">
        <v>1</v>
      </c>
      <c r="N143" s="4" t="s">
        <v>25</v>
      </c>
      <c r="O143" s="273" t="s">
        <v>330</v>
      </c>
      <c r="P143" s="152">
        <f>(2600000*1.06)*2</f>
        <v>5512000</v>
      </c>
      <c r="Q143" s="38">
        <v>0</v>
      </c>
      <c r="R143" s="38">
        <v>0</v>
      </c>
      <c r="S143" s="38" t="s">
        <v>331</v>
      </c>
      <c r="T143" s="38" t="s">
        <v>332</v>
      </c>
      <c r="U143" s="11" t="s">
        <v>22</v>
      </c>
      <c r="V143" s="11">
        <v>3846666</v>
      </c>
      <c r="W143" s="11" t="s">
        <v>23</v>
      </c>
      <c r="X143" s="1" t="s">
        <v>26</v>
      </c>
      <c r="Y143" s="1" t="s">
        <v>41</v>
      </c>
      <c r="Z143" s="11"/>
      <c r="AA143" s="11"/>
      <c r="AB143" s="397">
        <v>2124624</v>
      </c>
      <c r="AC143" s="22">
        <f t="shared" si="39"/>
        <v>3387376</v>
      </c>
      <c r="AD143" s="265"/>
      <c r="AE143" s="421"/>
      <c r="AF143" s="258">
        <f>+AC143-AE143</f>
        <v>3387376</v>
      </c>
      <c r="AG143" s="265"/>
      <c r="AH143" s="265"/>
      <c r="AI143" s="414"/>
      <c r="AJ143" s="258">
        <f t="shared" si="38"/>
        <v>3387376</v>
      </c>
      <c r="AK143" s="265"/>
      <c r="AL143" s="265"/>
      <c r="AM143" s="305"/>
      <c r="AN143" s="243" t="s">
        <v>588</v>
      </c>
    </row>
    <row r="144" spans="1:40" ht="106.5" customHeight="1" x14ac:dyDescent="0.2">
      <c r="A144" s="9" t="s">
        <v>90</v>
      </c>
      <c r="B144" s="10" t="s">
        <v>1</v>
      </c>
      <c r="C144" s="10" t="s">
        <v>91</v>
      </c>
      <c r="D144" s="168" t="s">
        <v>18</v>
      </c>
      <c r="E144" s="18" t="s">
        <v>331</v>
      </c>
      <c r="F144" s="18" t="s">
        <v>196</v>
      </c>
      <c r="G144" s="18" t="s">
        <v>1</v>
      </c>
      <c r="H144" s="4" t="s">
        <v>401</v>
      </c>
      <c r="I144" s="11">
        <v>80111600</v>
      </c>
      <c r="J144" s="13">
        <v>1</v>
      </c>
      <c r="K144" s="13">
        <v>1</v>
      </c>
      <c r="L144" s="13" t="s">
        <v>423</v>
      </c>
      <c r="M144" s="13">
        <v>0</v>
      </c>
      <c r="N144" s="4" t="s">
        <v>25</v>
      </c>
      <c r="O144" s="13" t="s">
        <v>330</v>
      </c>
      <c r="P144" s="152">
        <f>3956500*11.5</f>
        <v>45499750</v>
      </c>
      <c r="Q144" s="38">
        <v>0</v>
      </c>
      <c r="R144" s="38">
        <v>0</v>
      </c>
      <c r="S144" s="38" t="s">
        <v>331</v>
      </c>
      <c r="T144" s="38" t="s">
        <v>332</v>
      </c>
      <c r="U144" s="11" t="s">
        <v>336</v>
      </c>
      <c r="V144" s="11">
        <v>3846666</v>
      </c>
      <c r="W144" s="6" t="s">
        <v>142</v>
      </c>
      <c r="X144" s="11" t="s">
        <v>524</v>
      </c>
      <c r="Y144" s="11" t="s">
        <v>336</v>
      </c>
      <c r="Z144" s="11"/>
      <c r="AA144" s="158">
        <v>25585367</v>
      </c>
      <c r="AB144" s="158">
        <v>29673750</v>
      </c>
      <c r="AC144" s="160">
        <f t="shared" si="39"/>
        <v>41411367</v>
      </c>
      <c r="AD144" s="203" t="s">
        <v>636</v>
      </c>
      <c r="AE144" s="211">
        <f>15826000+25585367-131884</f>
        <v>41279483</v>
      </c>
      <c r="AF144" s="224">
        <f t="shared" si="43"/>
        <v>131884</v>
      </c>
      <c r="AG144" s="263" t="s">
        <v>647</v>
      </c>
      <c r="AH144" s="277" t="s">
        <v>648</v>
      </c>
      <c r="AI144" s="413">
        <f>15826000+25453483</f>
        <v>41279483</v>
      </c>
      <c r="AJ144" s="262">
        <f t="shared" si="38"/>
        <v>131884</v>
      </c>
      <c r="AK144" s="267" t="s">
        <v>649</v>
      </c>
      <c r="AL144" s="267" t="s">
        <v>445</v>
      </c>
      <c r="AM144" s="388">
        <f>1978250+3956500+3956500+3956500+1978250+1714483</f>
        <v>17540483</v>
      </c>
      <c r="AN144" s="11" t="s">
        <v>591</v>
      </c>
    </row>
    <row r="145" spans="1:40" ht="106.5" customHeight="1" x14ac:dyDescent="0.2">
      <c r="A145" s="9" t="s">
        <v>90</v>
      </c>
      <c r="B145" s="10" t="s">
        <v>1</v>
      </c>
      <c r="C145" s="10" t="s">
        <v>91</v>
      </c>
      <c r="D145" s="168" t="s">
        <v>18</v>
      </c>
      <c r="E145" s="18" t="s">
        <v>195</v>
      </c>
      <c r="F145" s="18" t="s">
        <v>196</v>
      </c>
      <c r="G145" s="18" t="s">
        <v>1</v>
      </c>
      <c r="H145" s="4" t="s">
        <v>459</v>
      </c>
      <c r="I145" s="11">
        <v>80111600</v>
      </c>
      <c r="J145" s="13">
        <v>1</v>
      </c>
      <c r="K145" s="13">
        <v>1</v>
      </c>
      <c r="L145" s="13" t="s">
        <v>460</v>
      </c>
      <c r="M145" s="13">
        <v>0</v>
      </c>
      <c r="N145" s="4" t="s">
        <v>25</v>
      </c>
      <c r="O145" s="13" t="s">
        <v>330</v>
      </c>
      <c r="P145" s="152">
        <v>0</v>
      </c>
      <c r="Q145" s="38">
        <v>0</v>
      </c>
      <c r="R145" s="38">
        <v>0</v>
      </c>
      <c r="S145" s="38" t="s">
        <v>331</v>
      </c>
      <c r="T145" s="38" t="s">
        <v>332</v>
      </c>
      <c r="U145" s="11" t="s">
        <v>336</v>
      </c>
      <c r="V145" s="11">
        <v>3846666</v>
      </c>
      <c r="W145" s="6" t="s">
        <v>142</v>
      </c>
      <c r="X145" s="11" t="s">
        <v>524</v>
      </c>
      <c r="Y145" s="11" t="s">
        <v>336</v>
      </c>
      <c r="Z145" s="158">
        <v>29673750</v>
      </c>
      <c r="AA145" s="11"/>
      <c r="AB145" s="158">
        <v>25585367</v>
      </c>
      <c r="AC145" s="160">
        <f t="shared" ref="AC145" si="46">P145+Z145+AA145-AB145</f>
        <v>4088383</v>
      </c>
      <c r="AD145" s="203">
        <v>2523</v>
      </c>
      <c r="AE145" s="211">
        <f>15826000-11737617</f>
        <v>4088383</v>
      </c>
      <c r="AF145" s="224">
        <f t="shared" si="43"/>
        <v>0</v>
      </c>
      <c r="AG145" s="263">
        <v>2423</v>
      </c>
      <c r="AH145" s="266">
        <v>44956</v>
      </c>
      <c r="AI145" s="413">
        <f>15826000-11737617</f>
        <v>4088383</v>
      </c>
      <c r="AJ145" s="262">
        <f t="shared" si="38"/>
        <v>0</v>
      </c>
      <c r="AK145" s="278">
        <v>13</v>
      </c>
      <c r="AL145" s="267" t="s">
        <v>470</v>
      </c>
      <c r="AM145" s="388">
        <f>131883+3956500</f>
        <v>4088383</v>
      </c>
      <c r="AN145" s="11" t="s">
        <v>591</v>
      </c>
    </row>
    <row r="146" spans="1:40" ht="157.5" customHeight="1" x14ac:dyDescent="0.2">
      <c r="A146" s="9" t="s">
        <v>90</v>
      </c>
      <c r="B146" s="10" t="s">
        <v>1</v>
      </c>
      <c r="C146" s="10" t="s">
        <v>91</v>
      </c>
      <c r="D146" s="168" t="s">
        <v>18</v>
      </c>
      <c r="E146" s="18" t="s">
        <v>197</v>
      </c>
      <c r="F146" s="18" t="s">
        <v>197</v>
      </c>
      <c r="G146" s="18" t="s">
        <v>1</v>
      </c>
      <c r="H146" s="4" t="s">
        <v>165</v>
      </c>
      <c r="I146" s="11">
        <v>80111600</v>
      </c>
      <c r="J146" s="13">
        <v>1</v>
      </c>
      <c r="K146" s="13">
        <v>1</v>
      </c>
      <c r="L146" s="13" t="s">
        <v>423</v>
      </c>
      <c r="M146" s="13">
        <v>0</v>
      </c>
      <c r="N146" s="4" t="s">
        <v>25</v>
      </c>
      <c r="O146" s="13" t="s">
        <v>330</v>
      </c>
      <c r="P146" s="152">
        <v>41696620</v>
      </c>
      <c r="Q146" s="38">
        <v>0</v>
      </c>
      <c r="R146" s="38">
        <v>0</v>
      </c>
      <c r="S146" s="38" t="s">
        <v>331</v>
      </c>
      <c r="T146" s="38" t="s">
        <v>332</v>
      </c>
      <c r="U146" s="11" t="s">
        <v>166</v>
      </c>
      <c r="V146" s="11">
        <v>3846666</v>
      </c>
      <c r="W146" s="6" t="s">
        <v>167</v>
      </c>
      <c r="X146" s="11" t="s">
        <v>524</v>
      </c>
      <c r="Y146" s="11" t="s">
        <v>166</v>
      </c>
      <c r="Z146" s="11"/>
      <c r="AA146" s="11"/>
      <c r="AB146" s="11"/>
      <c r="AC146" s="160">
        <f t="shared" si="39"/>
        <v>41696620</v>
      </c>
      <c r="AD146" s="203" t="s">
        <v>593</v>
      </c>
      <c r="AE146" s="211">
        <f>12690276+28764624</f>
        <v>41454900</v>
      </c>
      <c r="AF146" s="224">
        <f t="shared" si="43"/>
        <v>241720</v>
      </c>
      <c r="AG146" s="263" t="s">
        <v>642</v>
      </c>
      <c r="AH146" s="277" t="s">
        <v>643</v>
      </c>
      <c r="AI146" s="413">
        <f>12690276+27918606</f>
        <v>40608882</v>
      </c>
      <c r="AJ146" s="262">
        <f t="shared" si="38"/>
        <v>1087738</v>
      </c>
      <c r="AK146" s="267" t="s">
        <v>644</v>
      </c>
      <c r="AL146" s="267" t="s">
        <v>479</v>
      </c>
      <c r="AM146" s="385">
        <f>4230092+4230092+4230092+2538055</f>
        <v>15228331</v>
      </c>
      <c r="AN146" s="12"/>
    </row>
    <row r="147" spans="1:40" ht="106.5" customHeight="1" x14ac:dyDescent="0.2">
      <c r="A147" s="9" t="s">
        <v>90</v>
      </c>
      <c r="B147" s="10" t="s">
        <v>1</v>
      </c>
      <c r="C147" s="10" t="s">
        <v>91</v>
      </c>
      <c r="D147" s="168" t="s">
        <v>18</v>
      </c>
      <c r="E147" s="18" t="s">
        <v>195</v>
      </c>
      <c r="F147" s="18" t="s">
        <v>196</v>
      </c>
      <c r="G147" s="18" t="s">
        <v>1</v>
      </c>
      <c r="H147" s="11" t="s">
        <v>515</v>
      </c>
      <c r="I147" s="11">
        <v>80111600</v>
      </c>
      <c r="J147" s="13">
        <v>2</v>
      </c>
      <c r="K147" s="13">
        <v>2</v>
      </c>
      <c r="L147" s="13">
        <v>10</v>
      </c>
      <c r="M147" s="13">
        <v>1</v>
      </c>
      <c r="N147" s="4" t="s">
        <v>25</v>
      </c>
      <c r="O147" s="13" t="s">
        <v>330</v>
      </c>
      <c r="P147" s="152">
        <f>3800000*10</f>
        <v>38000000</v>
      </c>
      <c r="Q147" s="38">
        <v>0</v>
      </c>
      <c r="R147" s="38">
        <v>0</v>
      </c>
      <c r="S147" s="38" t="s">
        <v>331</v>
      </c>
      <c r="T147" s="38" t="s">
        <v>332</v>
      </c>
      <c r="U147" s="11" t="s">
        <v>22</v>
      </c>
      <c r="V147" s="11">
        <v>3846666</v>
      </c>
      <c r="W147" s="6" t="s">
        <v>23</v>
      </c>
      <c r="X147" s="11" t="s">
        <v>524</v>
      </c>
      <c r="Y147" s="11" t="s">
        <v>22</v>
      </c>
      <c r="Z147" s="11"/>
      <c r="AA147" s="11"/>
      <c r="AB147" s="11"/>
      <c r="AC147" s="160">
        <f t="shared" si="39"/>
        <v>38000000</v>
      </c>
      <c r="AD147" s="203">
        <v>6623</v>
      </c>
      <c r="AE147" s="211">
        <v>30400000</v>
      </c>
      <c r="AF147" s="224">
        <f t="shared" si="43"/>
        <v>7600000</v>
      </c>
      <c r="AG147" s="263">
        <v>5823</v>
      </c>
      <c r="AH147" s="266">
        <v>44986</v>
      </c>
      <c r="AI147" s="413">
        <v>30400000</v>
      </c>
      <c r="AJ147" s="262">
        <f t="shared" si="38"/>
        <v>7600000</v>
      </c>
      <c r="AK147" s="263" t="s">
        <v>521</v>
      </c>
      <c r="AL147" s="279" t="s">
        <v>520</v>
      </c>
      <c r="AM147" s="382">
        <v>3800000</v>
      </c>
      <c r="AN147" s="12"/>
    </row>
    <row r="148" spans="1:40" ht="106.5" customHeight="1" x14ac:dyDescent="0.2">
      <c r="A148" s="9" t="s">
        <v>90</v>
      </c>
      <c r="B148" s="10" t="s">
        <v>1</v>
      </c>
      <c r="C148" s="10" t="s">
        <v>91</v>
      </c>
      <c r="D148" s="168" t="s">
        <v>18</v>
      </c>
      <c r="E148" s="18" t="s">
        <v>32</v>
      </c>
      <c r="F148" s="18" t="s">
        <v>198</v>
      </c>
      <c r="G148" s="18" t="s">
        <v>1</v>
      </c>
      <c r="H148" s="4" t="s">
        <v>182</v>
      </c>
      <c r="I148" s="11">
        <v>80111600</v>
      </c>
      <c r="J148" s="13">
        <v>1</v>
      </c>
      <c r="K148" s="13">
        <v>1</v>
      </c>
      <c r="L148" s="13">
        <v>9</v>
      </c>
      <c r="M148" s="13">
        <v>1</v>
      </c>
      <c r="N148" s="4" t="s">
        <v>25</v>
      </c>
      <c r="O148" s="13" t="s">
        <v>330</v>
      </c>
      <c r="P148" s="158">
        <f>3625739*9</f>
        <v>32631651</v>
      </c>
      <c r="Q148" s="38">
        <v>0</v>
      </c>
      <c r="R148" s="38">
        <v>0</v>
      </c>
      <c r="S148" s="38" t="s">
        <v>331</v>
      </c>
      <c r="T148" s="38" t="s">
        <v>332</v>
      </c>
      <c r="U148" s="11" t="s">
        <v>22</v>
      </c>
      <c r="V148" s="11">
        <v>3846666</v>
      </c>
      <c r="W148" s="6" t="s">
        <v>23</v>
      </c>
      <c r="X148" s="11" t="s">
        <v>524</v>
      </c>
      <c r="Y148" s="11" t="s">
        <v>143</v>
      </c>
      <c r="Z148" s="11"/>
      <c r="AA148" s="11"/>
      <c r="AB148" s="11"/>
      <c r="AC148" s="160">
        <f t="shared" si="39"/>
        <v>32631651</v>
      </c>
      <c r="AD148" s="233" t="s">
        <v>639</v>
      </c>
      <c r="AE148" s="234">
        <f>10152069+22479582</f>
        <v>32631651</v>
      </c>
      <c r="AF148" s="224">
        <f t="shared" si="43"/>
        <v>0</v>
      </c>
      <c r="AG148" s="263" t="s">
        <v>744</v>
      </c>
      <c r="AH148" s="277" t="s">
        <v>745</v>
      </c>
      <c r="AI148" s="413">
        <f>10152069+22479582</f>
        <v>32631651</v>
      </c>
      <c r="AJ148" s="262">
        <f t="shared" ref="AJ148:AJ178" si="47">+AC148-AI148</f>
        <v>0</v>
      </c>
      <c r="AK148" s="267" t="s">
        <v>746</v>
      </c>
      <c r="AL148" s="263" t="s">
        <v>527</v>
      </c>
      <c r="AM148" s="319">
        <f>2900591+3625739+3625739</f>
        <v>10152069</v>
      </c>
      <c r="AN148" s="12"/>
    </row>
    <row r="149" spans="1:40" ht="232.5" customHeight="1" x14ac:dyDescent="0.2">
      <c r="A149" s="9" t="s">
        <v>90</v>
      </c>
      <c r="B149" s="10" t="s">
        <v>1</v>
      </c>
      <c r="C149" s="10" t="s">
        <v>91</v>
      </c>
      <c r="D149" s="169" t="s">
        <v>18</v>
      </c>
      <c r="E149" s="18" t="s">
        <v>444</v>
      </c>
      <c r="F149" s="18" t="s">
        <v>196</v>
      </c>
      <c r="G149" s="18" t="s">
        <v>1</v>
      </c>
      <c r="H149" s="1" t="s">
        <v>438</v>
      </c>
      <c r="I149" s="4">
        <v>80111600</v>
      </c>
      <c r="J149" s="4" t="s">
        <v>439</v>
      </c>
      <c r="K149" s="4" t="s">
        <v>439</v>
      </c>
      <c r="L149" s="4" t="s">
        <v>440</v>
      </c>
      <c r="M149" s="4">
        <v>1</v>
      </c>
      <c r="N149" s="4" t="s">
        <v>25</v>
      </c>
      <c r="O149" s="13" t="s">
        <v>330</v>
      </c>
      <c r="P149" s="154">
        <v>21552986</v>
      </c>
      <c r="Q149" s="38">
        <v>0</v>
      </c>
      <c r="R149" s="38">
        <v>0</v>
      </c>
      <c r="S149" s="38" t="s">
        <v>331</v>
      </c>
      <c r="T149" s="38" t="s">
        <v>332</v>
      </c>
      <c r="U149" s="1" t="s">
        <v>336</v>
      </c>
      <c r="V149" s="1">
        <v>3846666</v>
      </c>
      <c r="W149" s="6" t="s">
        <v>142</v>
      </c>
      <c r="X149" s="4" t="s">
        <v>26</v>
      </c>
      <c r="Y149" s="2" t="s">
        <v>336</v>
      </c>
      <c r="Z149" s="2"/>
      <c r="AA149" s="2"/>
      <c r="AB149" s="2"/>
      <c r="AC149" s="160">
        <f t="shared" ref="AC149:AC178" si="48">P149+Z149+AA149-AB149</f>
        <v>21552986</v>
      </c>
      <c r="AD149" s="203" t="s">
        <v>637</v>
      </c>
      <c r="AE149" s="211">
        <f>7837448+7837448</f>
        <v>15674896</v>
      </c>
      <c r="AF149" s="224">
        <f t="shared" si="43"/>
        <v>5878090</v>
      </c>
      <c r="AG149" s="267" t="s">
        <v>650</v>
      </c>
      <c r="AH149" s="277" t="s">
        <v>651</v>
      </c>
      <c r="AI149" s="413">
        <f>7837448+7837448</f>
        <v>15674896</v>
      </c>
      <c r="AJ149" s="262">
        <f t="shared" si="47"/>
        <v>5878090</v>
      </c>
      <c r="AK149" s="267" t="s">
        <v>652</v>
      </c>
      <c r="AL149" s="267" t="s">
        <v>448</v>
      </c>
      <c r="AM149" s="388">
        <f>914369+1959362+1959362+1959362+1044993+849057</f>
        <v>8686505</v>
      </c>
      <c r="AN149" s="13" t="s">
        <v>441</v>
      </c>
    </row>
    <row r="150" spans="1:40" ht="99" customHeight="1" x14ac:dyDescent="0.2">
      <c r="A150" s="9" t="s">
        <v>96</v>
      </c>
      <c r="B150" s="10" t="s">
        <v>1</v>
      </c>
      <c r="C150" s="10" t="s">
        <v>316</v>
      </c>
      <c r="D150" s="168" t="s">
        <v>18</v>
      </c>
      <c r="E150" s="18" t="s">
        <v>128</v>
      </c>
      <c r="F150" s="1" t="s">
        <v>193</v>
      </c>
      <c r="G150" s="18" t="s">
        <v>1</v>
      </c>
      <c r="H150" s="1" t="s">
        <v>97</v>
      </c>
      <c r="I150" s="11" t="s">
        <v>1</v>
      </c>
      <c r="J150" s="13" t="s">
        <v>53</v>
      </c>
      <c r="K150" s="13" t="s">
        <v>53</v>
      </c>
      <c r="L150" s="13" t="s">
        <v>53</v>
      </c>
      <c r="M150" s="13" t="s">
        <v>53</v>
      </c>
      <c r="N150" s="11" t="s">
        <v>45</v>
      </c>
      <c r="O150" s="273" t="s">
        <v>330</v>
      </c>
      <c r="P150" s="152">
        <v>14000000</v>
      </c>
      <c r="Q150" s="38">
        <v>0</v>
      </c>
      <c r="R150" s="38">
        <v>0</v>
      </c>
      <c r="S150" s="38" t="s">
        <v>331</v>
      </c>
      <c r="T150" s="38" t="s">
        <v>332</v>
      </c>
      <c r="U150" s="11" t="s">
        <v>22</v>
      </c>
      <c r="V150" s="11">
        <v>3846666</v>
      </c>
      <c r="W150" s="11" t="s">
        <v>23</v>
      </c>
      <c r="X150" s="1" t="s">
        <v>26</v>
      </c>
      <c r="Y150" s="1" t="s">
        <v>41</v>
      </c>
      <c r="Z150" s="11"/>
      <c r="AA150" s="11"/>
      <c r="AB150" s="11"/>
      <c r="AC150" s="22">
        <f t="shared" si="48"/>
        <v>14000000</v>
      </c>
      <c r="AD150" s="207" t="s">
        <v>772</v>
      </c>
      <c r="AE150" s="357">
        <f>320170.1+872480+872480+309832.2+311562.09+872480+986950+309832.2+309832.2+986950+986950+309832.2</f>
        <v>7449350.9900000012</v>
      </c>
      <c r="AF150" s="232">
        <f t="shared" si="43"/>
        <v>6550649.0099999988</v>
      </c>
      <c r="AG150" s="267" t="s">
        <v>775</v>
      </c>
      <c r="AH150" s="280" t="s">
        <v>776</v>
      </c>
      <c r="AI150" s="413">
        <f>320170.1+872480+872480+309832.2+311562.09+872480+986950+309832.2+309832.2+986950+986950+309832.2</f>
        <v>7449350.9900000012</v>
      </c>
      <c r="AJ150" s="262">
        <f t="shared" si="47"/>
        <v>6550649.0099999988</v>
      </c>
      <c r="AK150" s="267" t="s">
        <v>53</v>
      </c>
      <c r="AL150" s="267" t="s">
        <v>454</v>
      </c>
      <c r="AM150" s="381">
        <f>320170.1+872480+872480+309832.2-0.2+311562.09+872480+986950+309832.2+309832.2+986950+309832.2+986950</f>
        <v>7449350.79</v>
      </c>
      <c r="AN150" s="12"/>
    </row>
    <row r="151" spans="1:40" ht="50.1" customHeight="1" x14ac:dyDescent="0.2">
      <c r="A151" s="9" t="s">
        <v>98</v>
      </c>
      <c r="B151" s="10" t="s">
        <v>1</v>
      </c>
      <c r="C151" s="10" t="s">
        <v>99</v>
      </c>
      <c r="D151" s="168" t="s">
        <v>18</v>
      </c>
      <c r="E151" s="18" t="s">
        <v>128</v>
      </c>
      <c r="F151" s="1" t="s">
        <v>193</v>
      </c>
      <c r="G151" s="18" t="s">
        <v>1</v>
      </c>
      <c r="H151" s="1" t="s">
        <v>100</v>
      </c>
      <c r="I151" s="11">
        <v>92101501</v>
      </c>
      <c r="J151" s="13">
        <v>1</v>
      </c>
      <c r="K151" s="13">
        <v>1</v>
      </c>
      <c r="L151" s="13" t="s">
        <v>424</v>
      </c>
      <c r="M151" s="13">
        <v>0</v>
      </c>
      <c r="N151" s="11" t="s">
        <v>86</v>
      </c>
      <c r="O151" s="273" t="s">
        <v>330</v>
      </c>
      <c r="P151" s="152">
        <v>104467556</v>
      </c>
      <c r="Q151" s="38">
        <v>0</v>
      </c>
      <c r="R151" s="38">
        <v>0</v>
      </c>
      <c r="S151" s="38" t="s">
        <v>331</v>
      </c>
      <c r="T151" s="38" t="s">
        <v>332</v>
      </c>
      <c r="U151" s="11" t="s">
        <v>22</v>
      </c>
      <c r="V151" s="11">
        <v>3846666</v>
      </c>
      <c r="W151" s="11" t="s">
        <v>23</v>
      </c>
      <c r="X151" s="1" t="s">
        <v>26</v>
      </c>
      <c r="Y151" s="1" t="s">
        <v>41</v>
      </c>
      <c r="Z151" s="11"/>
      <c r="AA151" s="11"/>
      <c r="AB151" s="11"/>
      <c r="AC151" s="22">
        <f t="shared" si="48"/>
        <v>104467556</v>
      </c>
      <c r="AD151" s="231">
        <v>823</v>
      </c>
      <c r="AE151" s="357">
        <v>104467556</v>
      </c>
      <c r="AF151" s="232">
        <f t="shared" si="43"/>
        <v>0</v>
      </c>
      <c r="AG151" s="259">
        <v>4523</v>
      </c>
      <c r="AH151" s="264" t="s">
        <v>501</v>
      </c>
      <c r="AI151" s="413">
        <v>104467556</v>
      </c>
      <c r="AJ151" s="262">
        <f t="shared" si="47"/>
        <v>0</v>
      </c>
      <c r="AK151" s="263" t="s">
        <v>512</v>
      </c>
      <c r="AL151" s="267" t="s">
        <v>513</v>
      </c>
      <c r="AM151" s="320">
        <f>11610054+11610054+11610054+11610054</f>
        <v>46440216</v>
      </c>
      <c r="AN151" s="12"/>
    </row>
    <row r="152" spans="1:40" ht="50.1" customHeight="1" x14ac:dyDescent="0.2">
      <c r="A152" s="9" t="s">
        <v>98</v>
      </c>
      <c r="B152" s="10" t="s">
        <v>1</v>
      </c>
      <c r="C152" s="10" t="s">
        <v>99</v>
      </c>
      <c r="D152" s="168" t="s">
        <v>18</v>
      </c>
      <c r="E152" s="18" t="s">
        <v>128</v>
      </c>
      <c r="F152" s="1" t="s">
        <v>193</v>
      </c>
      <c r="G152" s="18" t="s">
        <v>1</v>
      </c>
      <c r="H152" s="1" t="s">
        <v>100</v>
      </c>
      <c r="I152" s="11">
        <v>92101501</v>
      </c>
      <c r="J152" s="13">
        <v>1</v>
      </c>
      <c r="K152" s="13">
        <v>1</v>
      </c>
      <c r="L152" s="13" t="s">
        <v>424</v>
      </c>
      <c r="M152" s="13">
        <v>0</v>
      </c>
      <c r="N152" s="11" t="s">
        <v>86</v>
      </c>
      <c r="O152" s="273" t="s">
        <v>405</v>
      </c>
      <c r="P152" s="152">
        <v>13532444</v>
      </c>
      <c r="Q152" s="38">
        <v>0</v>
      </c>
      <c r="R152" s="38">
        <v>0</v>
      </c>
      <c r="S152" s="38" t="s">
        <v>331</v>
      </c>
      <c r="T152" s="38" t="s">
        <v>332</v>
      </c>
      <c r="U152" s="11" t="s">
        <v>22</v>
      </c>
      <c r="V152" s="11">
        <v>3846666</v>
      </c>
      <c r="W152" s="11" t="s">
        <v>23</v>
      </c>
      <c r="X152" s="1" t="s">
        <v>26</v>
      </c>
      <c r="Y152" s="1" t="s">
        <v>41</v>
      </c>
      <c r="Z152" s="11"/>
      <c r="AA152" s="11"/>
      <c r="AB152" s="11"/>
      <c r="AC152" s="22">
        <f t="shared" si="48"/>
        <v>13532444</v>
      </c>
      <c r="AD152" s="231">
        <v>823</v>
      </c>
      <c r="AE152" s="357">
        <f>13402589-4343450</f>
        <v>9059139</v>
      </c>
      <c r="AF152" s="232">
        <f t="shared" si="43"/>
        <v>4473305</v>
      </c>
      <c r="AG152" s="259">
        <v>4523</v>
      </c>
      <c r="AH152" s="264" t="s">
        <v>501</v>
      </c>
      <c r="AI152" s="413">
        <v>9059139</v>
      </c>
      <c r="AJ152" s="262">
        <f t="shared" si="47"/>
        <v>4473305</v>
      </c>
      <c r="AK152" s="263" t="s">
        <v>512</v>
      </c>
      <c r="AL152" s="267" t="s">
        <v>513</v>
      </c>
      <c r="AM152" s="305"/>
      <c r="AN152" s="12"/>
    </row>
    <row r="153" spans="1:40" ht="50.1" customHeight="1" x14ac:dyDescent="0.2">
      <c r="A153" s="9" t="s">
        <v>98</v>
      </c>
      <c r="B153" s="10" t="s">
        <v>1</v>
      </c>
      <c r="C153" s="10" t="s">
        <v>99</v>
      </c>
      <c r="D153" s="168" t="s">
        <v>18</v>
      </c>
      <c r="E153" s="18" t="s">
        <v>128</v>
      </c>
      <c r="F153" s="1" t="s">
        <v>193</v>
      </c>
      <c r="G153" s="18" t="s">
        <v>1</v>
      </c>
      <c r="H153" s="1" t="s">
        <v>101</v>
      </c>
      <c r="I153" s="11">
        <v>92101501</v>
      </c>
      <c r="J153" s="13">
        <v>1</v>
      </c>
      <c r="K153" s="13">
        <v>1</v>
      </c>
      <c r="L153" s="13">
        <v>2</v>
      </c>
      <c r="M153" s="13">
        <v>1</v>
      </c>
      <c r="N153" s="11" t="s">
        <v>86</v>
      </c>
      <c r="O153" s="273" t="s">
        <v>330</v>
      </c>
      <c r="P153" s="152">
        <v>17213148</v>
      </c>
      <c r="Q153" s="13">
        <v>1</v>
      </c>
      <c r="R153" s="13">
        <v>3</v>
      </c>
      <c r="S153" s="38" t="s">
        <v>331</v>
      </c>
      <c r="T153" s="38" t="s">
        <v>332</v>
      </c>
      <c r="U153" s="11" t="s">
        <v>22</v>
      </c>
      <c r="V153" s="11">
        <v>3846666</v>
      </c>
      <c r="W153" s="11" t="s">
        <v>23</v>
      </c>
      <c r="X153" s="1" t="s">
        <v>26</v>
      </c>
      <c r="Y153" s="1" t="s">
        <v>41</v>
      </c>
      <c r="Z153" s="11"/>
      <c r="AA153" s="11"/>
      <c r="AB153" s="11"/>
      <c r="AC153" s="22">
        <f t="shared" si="48"/>
        <v>17213148</v>
      </c>
      <c r="AD153" s="231">
        <v>223</v>
      </c>
      <c r="AE153" s="357">
        <v>17213148</v>
      </c>
      <c r="AF153" s="232">
        <f t="shared" si="43"/>
        <v>0</v>
      </c>
      <c r="AG153" s="263">
        <v>223</v>
      </c>
      <c r="AH153" s="266">
        <v>44932</v>
      </c>
      <c r="AI153" s="413">
        <v>17213148</v>
      </c>
      <c r="AJ153" s="262">
        <f t="shared" si="47"/>
        <v>0</v>
      </c>
      <c r="AK153" s="263" t="s">
        <v>468</v>
      </c>
      <c r="AL153" s="267" t="s">
        <v>467</v>
      </c>
      <c r="AM153" s="388">
        <f>10638319+6226032</f>
        <v>16864351</v>
      </c>
      <c r="AN153" s="12"/>
    </row>
    <row r="154" spans="1:40" ht="50.1" customHeight="1" x14ac:dyDescent="0.2">
      <c r="A154" s="9" t="s">
        <v>98</v>
      </c>
      <c r="B154" s="10" t="s">
        <v>1</v>
      </c>
      <c r="C154" s="10" t="s">
        <v>99</v>
      </c>
      <c r="D154" s="168" t="s">
        <v>18</v>
      </c>
      <c r="E154" s="18" t="s">
        <v>128</v>
      </c>
      <c r="F154" s="1" t="s">
        <v>193</v>
      </c>
      <c r="G154" s="18" t="s">
        <v>1</v>
      </c>
      <c r="H154" s="1" t="s">
        <v>102</v>
      </c>
      <c r="I154" s="11">
        <v>76111501</v>
      </c>
      <c r="J154" s="1">
        <v>3</v>
      </c>
      <c r="K154" s="1">
        <v>3</v>
      </c>
      <c r="L154" s="1">
        <v>9</v>
      </c>
      <c r="M154" s="1">
        <v>1</v>
      </c>
      <c r="N154" s="11" t="s">
        <v>86</v>
      </c>
      <c r="O154" s="273" t="s">
        <v>330</v>
      </c>
      <c r="P154" s="152">
        <v>38000000</v>
      </c>
      <c r="Q154" s="13">
        <v>0</v>
      </c>
      <c r="R154" s="13">
        <v>0</v>
      </c>
      <c r="S154" s="38" t="s">
        <v>331</v>
      </c>
      <c r="T154" s="38" t="s">
        <v>332</v>
      </c>
      <c r="U154" s="11" t="s">
        <v>22</v>
      </c>
      <c r="V154" s="11">
        <v>3846666</v>
      </c>
      <c r="W154" s="11" t="s">
        <v>23</v>
      </c>
      <c r="X154" s="1" t="s">
        <v>26</v>
      </c>
      <c r="Y154" s="1" t="s">
        <v>41</v>
      </c>
      <c r="Z154" s="11"/>
      <c r="AA154" s="158">
        <v>6778143</v>
      </c>
      <c r="AB154" s="11"/>
      <c r="AC154" s="22">
        <f t="shared" si="48"/>
        <v>44778143</v>
      </c>
      <c r="AD154" s="231" t="s">
        <v>526</v>
      </c>
      <c r="AE154" s="358">
        <f>459841+44318302-0.39</f>
        <v>44778142.609999999</v>
      </c>
      <c r="AF154" s="232">
        <f t="shared" si="43"/>
        <v>0.39000000059604645</v>
      </c>
      <c r="AG154" s="263" t="s">
        <v>532</v>
      </c>
      <c r="AH154" s="277" t="s">
        <v>533</v>
      </c>
      <c r="AI154" s="413">
        <f>459841+44318301.61</f>
        <v>44778142.609999999</v>
      </c>
      <c r="AJ154" s="262">
        <f t="shared" si="47"/>
        <v>0.39000000059604645</v>
      </c>
      <c r="AK154" s="267" t="s">
        <v>535</v>
      </c>
      <c r="AL154" s="267" t="s">
        <v>537</v>
      </c>
      <c r="AM154" s="388">
        <f>459841+3446979.01+4924255.73</f>
        <v>8831075.7400000002</v>
      </c>
      <c r="AN154" s="13" t="s">
        <v>441</v>
      </c>
    </row>
    <row r="155" spans="1:40" ht="50.1" customHeight="1" x14ac:dyDescent="0.2">
      <c r="A155" s="9" t="s">
        <v>98</v>
      </c>
      <c r="B155" s="10" t="s">
        <v>1</v>
      </c>
      <c r="C155" s="10" t="s">
        <v>99</v>
      </c>
      <c r="D155" s="168" t="s">
        <v>18</v>
      </c>
      <c r="E155" s="18" t="s">
        <v>128</v>
      </c>
      <c r="F155" s="1" t="s">
        <v>193</v>
      </c>
      <c r="G155" s="18" t="s">
        <v>1</v>
      </c>
      <c r="H155" s="1" t="s">
        <v>103</v>
      </c>
      <c r="I155" s="11">
        <v>76111501</v>
      </c>
      <c r="J155" s="13">
        <v>1</v>
      </c>
      <c r="K155" s="13">
        <v>1</v>
      </c>
      <c r="L155" s="13">
        <v>3</v>
      </c>
      <c r="M155" s="13">
        <v>1</v>
      </c>
      <c r="N155" s="11" t="s">
        <v>86</v>
      </c>
      <c r="O155" s="273" t="s">
        <v>330</v>
      </c>
      <c r="P155" s="152">
        <v>12838704</v>
      </c>
      <c r="Q155" s="13">
        <v>1</v>
      </c>
      <c r="R155" s="13">
        <v>3</v>
      </c>
      <c r="S155" s="38" t="s">
        <v>331</v>
      </c>
      <c r="T155" s="38" t="s">
        <v>332</v>
      </c>
      <c r="U155" s="11" t="s">
        <v>22</v>
      </c>
      <c r="V155" s="11">
        <v>3846666</v>
      </c>
      <c r="W155" s="11" t="s">
        <v>23</v>
      </c>
      <c r="X155" s="1" t="s">
        <v>26</v>
      </c>
      <c r="Y155" s="1" t="s">
        <v>41</v>
      </c>
      <c r="Z155" s="11"/>
      <c r="AA155" s="11"/>
      <c r="AB155" s="11"/>
      <c r="AC155" s="22">
        <f t="shared" si="48"/>
        <v>12838704</v>
      </c>
      <c r="AD155" s="231">
        <v>123</v>
      </c>
      <c r="AE155" s="357">
        <v>12838704</v>
      </c>
      <c r="AF155" s="232">
        <f t="shared" si="43"/>
        <v>0</v>
      </c>
      <c r="AG155" s="263">
        <v>123</v>
      </c>
      <c r="AH155" s="266">
        <v>44932</v>
      </c>
      <c r="AI155" s="413">
        <v>12838704</v>
      </c>
      <c r="AJ155" s="262">
        <f t="shared" si="47"/>
        <v>0</v>
      </c>
      <c r="AK155" s="263" t="s">
        <v>464</v>
      </c>
      <c r="AL155" s="263" t="s">
        <v>529</v>
      </c>
      <c r="AM155" s="388">
        <f>4703053.54+4703056.64+3432593.82</f>
        <v>12838704</v>
      </c>
      <c r="AN155" s="12"/>
    </row>
    <row r="156" spans="1:40" ht="96" customHeight="1" x14ac:dyDescent="0.2">
      <c r="A156" s="9" t="s">
        <v>98</v>
      </c>
      <c r="B156" s="10" t="s">
        <v>1</v>
      </c>
      <c r="C156" s="10" t="s">
        <v>99</v>
      </c>
      <c r="D156" s="168" t="s">
        <v>18</v>
      </c>
      <c r="E156" s="18" t="s">
        <v>128</v>
      </c>
      <c r="F156" s="1" t="s">
        <v>193</v>
      </c>
      <c r="G156" s="18" t="s">
        <v>1</v>
      </c>
      <c r="H156" s="1" t="s">
        <v>104</v>
      </c>
      <c r="I156" s="11">
        <v>47121600</v>
      </c>
      <c r="J156" s="1">
        <v>3</v>
      </c>
      <c r="K156" s="1">
        <v>3</v>
      </c>
      <c r="L156" s="1">
        <v>9</v>
      </c>
      <c r="M156" s="1">
        <v>1</v>
      </c>
      <c r="N156" s="11" t="s">
        <v>24</v>
      </c>
      <c r="O156" s="273" t="s">
        <v>330</v>
      </c>
      <c r="P156" s="152">
        <v>3000000</v>
      </c>
      <c r="Q156" s="13">
        <v>0</v>
      </c>
      <c r="R156" s="13">
        <v>0</v>
      </c>
      <c r="S156" s="38" t="s">
        <v>331</v>
      </c>
      <c r="T156" s="38" t="s">
        <v>332</v>
      </c>
      <c r="U156" s="11" t="s">
        <v>22</v>
      </c>
      <c r="V156" s="11">
        <v>3846666</v>
      </c>
      <c r="W156" s="11" t="s">
        <v>23</v>
      </c>
      <c r="X156" s="1" t="s">
        <v>26</v>
      </c>
      <c r="Y156" s="1" t="s">
        <v>41</v>
      </c>
      <c r="Z156" s="11"/>
      <c r="AA156" s="158">
        <v>1397150</v>
      </c>
      <c r="AB156" s="11"/>
      <c r="AC156" s="22">
        <f t="shared" si="48"/>
        <v>4397150</v>
      </c>
      <c r="AD156" s="231">
        <v>8023</v>
      </c>
      <c r="AE156" s="358">
        <f>4397150-1843910.19+0.39</f>
        <v>2553240.2000000002</v>
      </c>
      <c r="AF156" s="232">
        <f t="shared" si="43"/>
        <v>1843909.7999999998</v>
      </c>
      <c r="AG156" s="263">
        <v>10623</v>
      </c>
      <c r="AH156" s="266">
        <v>45016</v>
      </c>
      <c r="AI156" s="413">
        <v>2553240.2000000002</v>
      </c>
      <c r="AJ156" s="262">
        <f t="shared" si="47"/>
        <v>1843909.7999999998</v>
      </c>
      <c r="AK156" s="263" t="s">
        <v>534</v>
      </c>
      <c r="AL156" s="263" t="s">
        <v>536</v>
      </c>
      <c r="AM156" s="387">
        <f>234725.64+425911.82+236575.34</f>
        <v>897212.79999999993</v>
      </c>
      <c r="AN156" s="13" t="s">
        <v>441</v>
      </c>
    </row>
    <row r="157" spans="1:40" ht="100.5" customHeight="1" x14ac:dyDescent="0.2">
      <c r="A157" s="9" t="s">
        <v>105</v>
      </c>
      <c r="B157" s="10" t="s">
        <v>1</v>
      </c>
      <c r="C157" s="10" t="s">
        <v>106</v>
      </c>
      <c r="D157" s="168" t="s">
        <v>18</v>
      </c>
      <c r="E157" s="18" t="s">
        <v>128</v>
      </c>
      <c r="F157" s="1" t="s">
        <v>193</v>
      </c>
      <c r="G157" s="18" t="s">
        <v>1</v>
      </c>
      <c r="H157" s="1" t="s">
        <v>107</v>
      </c>
      <c r="I157" s="11">
        <v>78181500</v>
      </c>
      <c r="J157" s="13">
        <v>2</v>
      </c>
      <c r="K157" s="13">
        <v>2</v>
      </c>
      <c r="L157" s="13">
        <v>10</v>
      </c>
      <c r="M157" s="13">
        <v>1</v>
      </c>
      <c r="N157" s="11" t="s">
        <v>24</v>
      </c>
      <c r="O157" s="273" t="s">
        <v>330</v>
      </c>
      <c r="P157" s="152">
        <v>7000000</v>
      </c>
      <c r="Q157" s="13">
        <v>0</v>
      </c>
      <c r="R157" s="13">
        <v>0</v>
      </c>
      <c r="S157" s="38" t="s">
        <v>331</v>
      </c>
      <c r="T157" s="38" t="s">
        <v>332</v>
      </c>
      <c r="U157" s="11" t="s">
        <v>22</v>
      </c>
      <c r="V157" s="11">
        <v>3846666</v>
      </c>
      <c r="W157" s="11" t="s">
        <v>23</v>
      </c>
      <c r="X157" s="1" t="s">
        <v>26</v>
      </c>
      <c r="Y157" s="1" t="s">
        <v>41</v>
      </c>
      <c r="Z157" s="11"/>
      <c r="AA157" s="11"/>
      <c r="AB157" s="11"/>
      <c r="AC157" s="22">
        <f t="shared" si="48"/>
        <v>7000000</v>
      </c>
      <c r="AD157" s="231">
        <v>8123</v>
      </c>
      <c r="AE157" s="359">
        <v>7000000</v>
      </c>
      <c r="AF157" s="232">
        <f t="shared" si="43"/>
        <v>0</v>
      </c>
      <c r="AG157" s="263">
        <v>11723</v>
      </c>
      <c r="AH157" s="266">
        <v>45033</v>
      </c>
      <c r="AI157" s="413">
        <v>7000000</v>
      </c>
      <c r="AJ157" s="262">
        <f t="shared" si="47"/>
        <v>0</v>
      </c>
      <c r="AK157" s="263" t="s">
        <v>570</v>
      </c>
      <c r="AL157" s="263" t="s">
        <v>569</v>
      </c>
      <c r="AM157" s="305"/>
      <c r="AN157" s="12"/>
    </row>
    <row r="158" spans="1:40" ht="126.75" customHeight="1" x14ac:dyDescent="0.2">
      <c r="A158" s="9" t="s">
        <v>105</v>
      </c>
      <c r="B158" s="10" t="s">
        <v>1</v>
      </c>
      <c r="C158" s="10" t="s">
        <v>106</v>
      </c>
      <c r="D158" s="168" t="s">
        <v>18</v>
      </c>
      <c r="E158" s="18" t="s">
        <v>128</v>
      </c>
      <c r="F158" s="1" t="s">
        <v>193</v>
      </c>
      <c r="G158" s="18" t="s">
        <v>1</v>
      </c>
      <c r="H158" s="1" t="s">
        <v>484</v>
      </c>
      <c r="I158" s="11" t="s">
        <v>108</v>
      </c>
      <c r="J158" s="13">
        <v>3</v>
      </c>
      <c r="K158" s="13">
        <v>3</v>
      </c>
      <c r="L158" s="13">
        <v>9</v>
      </c>
      <c r="M158" s="13">
        <v>1</v>
      </c>
      <c r="N158" s="11" t="s">
        <v>24</v>
      </c>
      <c r="O158" s="273" t="s">
        <v>330</v>
      </c>
      <c r="P158" s="152">
        <v>6000000</v>
      </c>
      <c r="Q158" s="13">
        <v>0</v>
      </c>
      <c r="R158" s="13">
        <v>0</v>
      </c>
      <c r="S158" s="38" t="s">
        <v>331</v>
      </c>
      <c r="T158" s="38" t="s">
        <v>332</v>
      </c>
      <c r="U158" s="11" t="s">
        <v>22</v>
      </c>
      <c r="V158" s="11">
        <v>3846666</v>
      </c>
      <c r="W158" s="11" t="s">
        <v>23</v>
      </c>
      <c r="X158" s="1" t="s">
        <v>26</v>
      </c>
      <c r="Y158" s="1" t="s">
        <v>41</v>
      </c>
      <c r="Z158" s="11"/>
      <c r="AA158" s="11"/>
      <c r="AB158" s="11"/>
      <c r="AC158" s="22">
        <f t="shared" si="48"/>
        <v>6000000</v>
      </c>
      <c r="AD158" s="231">
        <v>4823</v>
      </c>
      <c r="AE158" s="359">
        <f>6000000-3000000</f>
        <v>3000000</v>
      </c>
      <c r="AF158" s="232">
        <f t="shared" si="43"/>
        <v>3000000</v>
      </c>
      <c r="AG158" s="263">
        <v>7223</v>
      </c>
      <c r="AH158" s="266">
        <v>44995</v>
      </c>
      <c r="AI158" s="413">
        <v>3000000</v>
      </c>
      <c r="AJ158" s="262">
        <f t="shared" si="47"/>
        <v>3000000</v>
      </c>
      <c r="AK158" s="263">
        <v>43</v>
      </c>
      <c r="AL158" s="263" t="s">
        <v>525</v>
      </c>
      <c r="AM158" s="319">
        <f>114000+114000+114000</f>
        <v>342000</v>
      </c>
      <c r="AN158" s="13" t="s">
        <v>441</v>
      </c>
    </row>
    <row r="159" spans="1:40" ht="100.5" customHeight="1" x14ac:dyDescent="0.2">
      <c r="A159" s="9" t="s">
        <v>105</v>
      </c>
      <c r="B159" s="10" t="s">
        <v>1</v>
      </c>
      <c r="C159" s="10" t="s">
        <v>106</v>
      </c>
      <c r="D159" s="168" t="s">
        <v>18</v>
      </c>
      <c r="E159" s="18" t="s">
        <v>128</v>
      </c>
      <c r="F159" s="1" t="s">
        <v>193</v>
      </c>
      <c r="G159" s="18" t="s">
        <v>1</v>
      </c>
      <c r="H159" s="1" t="s">
        <v>400</v>
      </c>
      <c r="I159" s="11" t="s">
        <v>109</v>
      </c>
      <c r="J159" s="13">
        <v>10</v>
      </c>
      <c r="K159" s="13">
        <v>10</v>
      </c>
      <c r="L159" s="13">
        <v>1</v>
      </c>
      <c r="M159" s="13">
        <v>1</v>
      </c>
      <c r="N159" s="11" t="s">
        <v>24</v>
      </c>
      <c r="O159" s="273" t="s">
        <v>330</v>
      </c>
      <c r="P159" s="152">
        <v>1500000</v>
      </c>
      <c r="Q159" s="13">
        <v>0</v>
      </c>
      <c r="R159" s="13">
        <v>0</v>
      </c>
      <c r="S159" s="38" t="s">
        <v>331</v>
      </c>
      <c r="T159" s="38" t="s">
        <v>332</v>
      </c>
      <c r="U159" s="11" t="s">
        <v>22</v>
      </c>
      <c r="V159" s="11">
        <v>3846666</v>
      </c>
      <c r="W159" s="11" t="s">
        <v>23</v>
      </c>
      <c r="X159" s="1" t="s">
        <v>26</v>
      </c>
      <c r="Y159" s="1" t="s">
        <v>41</v>
      </c>
      <c r="Z159" s="11"/>
      <c r="AA159" s="11"/>
      <c r="AB159" s="11"/>
      <c r="AC159" s="22">
        <f t="shared" si="48"/>
        <v>1500000</v>
      </c>
      <c r="AD159" s="265"/>
      <c r="AE159" s="265"/>
      <c r="AF159" s="258">
        <f t="shared" si="43"/>
        <v>1500000</v>
      </c>
      <c r="AG159" s="265"/>
      <c r="AH159" s="265"/>
      <c r="AI159" s="414"/>
      <c r="AJ159" s="258">
        <f t="shared" si="47"/>
        <v>1500000</v>
      </c>
      <c r="AK159" s="265"/>
      <c r="AL159" s="265"/>
      <c r="AM159" s="305"/>
      <c r="AN159" s="245"/>
    </row>
    <row r="160" spans="1:40" ht="100.5" customHeight="1" x14ac:dyDescent="0.2">
      <c r="A160" s="9" t="s">
        <v>105</v>
      </c>
      <c r="B160" s="10" t="s">
        <v>1</v>
      </c>
      <c r="C160" s="10" t="s">
        <v>106</v>
      </c>
      <c r="D160" s="168" t="s">
        <v>18</v>
      </c>
      <c r="E160" s="18" t="s">
        <v>128</v>
      </c>
      <c r="F160" s="1" t="s">
        <v>193</v>
      </c>
      <c r="G160" s="18" t="s">
        <v>1</v>
      </c>
      <c r="H160" s="1" t="s">
        <v>110</v>
      </c>
      <c r="I160" s="11">
        <v>72101511</v>
      </c>
      <c r="J160" s="13">
        <v>3</v>
      </c>
      <c r="K160" s="13">
        <v>3</v>
      </c>
      <c r="L160" s="13">
        <v>9</v>
      </c>
      <c r="M160" s="13">
        <v>1</v>
      </c>
      <c r="N160" s="11" t="s">
        <v>24</v>
      </c>
      <c r="O160" s="273" t="s">
        <v>330</v>
      </c>
      <c r="P160" s="152">
        <v>9000000</v>
      </c>
      <c r="Q160" s="13">
        <v>0</v>
      </c>
      <c r="R160" s="13">
        <v>0</v>
      </c>
      <c r="S160" s="38" t="s">
        <v>331</v>
      </c>
      <c r="T160" s="38" t="s">
        <v>332</v>
      </c>
      <c r="U160" s="11" t="s">
        <v>22</v>
      </c>
      <c r="V160" s="11">
        <v>3846666</v>
      </c>
      <c r="W160" s="11" t="s">
        <v>23</v>
      </c>
      <c r="X160" s="1" t="s">
        <v>26</v>
      </c>
      <c r="Y160" s="1" t="s">
        <v>41</v>
      </c>
      <c r="Z160" s="11"/>
      <c r="AA160" s="11"/>
      <c r="AB160" s="11"/>
      <c r="AC160" s="22">
        <f t="shared" si="48"/>
        <v>9000000</v>
      </c>
      <c r="AD160" s="231">
        <v>14423</v>
      </c>
      <c r="AE160" s="358">
        <f>9000000-3368900</f>
        <v>5631100</v>
      </c>
      <c r="AF160" s="232">
        <f t="shared" si="43"/>
        <v>3368900</v>
      </c>
      <c r="AG160" s="263">
        <v>19523</v>
      </c>
      <c r="AH160" s="266">
        <v>45082</v>
      </c>
      <c r="AI160" s="413">
        <v>5631100</v>
      </c>
      <c r="AJ160" s="262">
        <f t="shared" si="47"/>
        <v>3368900</v>
      </c>
      <c r="AK160" s="263" t="s">
        <v>741</v>
      </c>
      <c r="AL160" s="267" t="s">
        <v>740</v>
      </c>
      <c r="AM160" s="305"/>
      <c r="AN160" s="245"/>
    </row>
    <row r="161" spans="1:40" ht="100.5" customHeight="1" x14ac:dyDescent="0.2">
      <c r="A161" s="9" t="s">
        <v>105</v>
      </c>
      <c r="B161" s="10" t="s">
        <v>1</v>
      </c>
      <c r="C161" s="10" t="s">
        <v>106</v>
      </c>
      <c r="D161" s="168" t="s">
        <v>18</v>
      </c>
      <c r="E161" s="18" t="s">
        <v>128</v>
      </c>
      <c r="F161" s="1" t="s">
        <v>193</v>
      </c>
      <c r="G161" s="18" t="s">
        <v>1</v>
      </c>
      <c r="H161" s="1" t="s">
        <v>111</v>
      </c>
      <c r="I161" s="11">
        <v>72101509</v>
      </c>
      <c r="J161" s="13">
        <v>10</v>
      </c>
      <c r="K161" s="13">
        <v>10</v>
      </c>
      <c r="L161" s="13">
        <v>1</v>
      </c>
      <c r="M161" s="13">
        <v>1</v>
      </c>
      <c r="N161" s="11" t="s">
        <v>24</v>
      </c>
      <c r="O161" s="273" t="s">
        <v>330</v>
      </c>
      <c r="P161" s="152">
        <v>1500000</v>
      </c>
      <c r="Q161" s="13">
        <v>0</v>
      </c>
      <c r="R161" s="13">
        <v>0</v>
      </c>
      <c r="S161" s="38" t="s">
        <v>331</v>
      </c>
      <c r="T161" s="38" t="s">
        <v>332</v>
      </c>
      <c r="U161" s="11" t="s">
        <v>22</v>
      </c>
      <c r="V161" s="11">
        <v>3846666</v>
      </c>
      <c r="W161" s="11" t="s">
        <v>23</v>
      </c>
      <c r="X161" s="1" t="s">
        <v>26</v>
      </c>
      <c r="Y161" s="1" t="s">
        <v>41</v>
      </c>
      <c r="Z161" s="11"/>
      <c r="AA161" s="11"/>
      <c r="AB161" s="11"/>
      <c r="AC161" s="22">
        <f t="shared" si="48"/>
        <v>1500000</v>
      </c>
      <c r="AD161" s="265"/>
      <c r="AE161" s="265"/>
      <c r="AF161" s="258">
        <f t="shared" si="43"/>
        <v>1500000</v>
      </c>
      <c r="AG161" s="265"/>
      <c r="AH161" s="265"/>
      <c r="AI161" s="414"/>
      <c r="AJ161" s="258">
        <f t="shared" si="47"/>
        <v>1500000</v>
      </c>
      <c r="AK161" s="265"/>
      <c r="AL161" s="265"/>
      <c r="AM161" s="305"/>
      <c r="AN161" s="245"/>
    </row>
    <row r="162" spans="1:40" ht="100.5" customHeight="1" x14ac:dyDescent="0.2">
      <c r="A162" s="9" t="s">
        <v>105</v>
      </c>
      <c r="B162" s="10" t="s">
        <v>1</v>
      </c>
      <c r="C162" s="10" t="s">
        <v>106</v>
      </c>
      <c r="D162" s="168" t="s">
        <v>18</v>
      </c>
      <c r="E162" s="18" t="s">
        <v>128</v>
      </c>
      <c r="F162" s="1" t="s">
        <v>193</v>
      </c>
      <c r="G162" s="18" t="s">
        <v>1</v>
      </c>
      <c r="H162" s="1" t="s">
        <v>112</v>
      </c>
      <c r="I162" s="11" t="s">
        <v>1</v>
      </c>
      <c r="J162" s="13" t="s">
        <v>53</v>
      </c>
      <c r="K162" s="13" t="s">
        <v>53</v>
      </c>
      <c r="L162" s="13" t="s">
        <v>53</v>
      </c>
      <c r="M162" s="13" t="s">
        <v>53</v>
      </c>
      <c r="N162" s="11" t="s">
        <v>45</v>
      </c>
      <c r="O162" s="273" t="s">
        <v>330</v>
      </c>
      <c r="P162" s="152">
        <v>3000000</v>
      </c>
      <c r="Q162" s="13">
        <v>0</v>
      </c>
      <c r="R162" s="13">
        <v>0</v>
      </c>
      <c r="S162" s="38" t="s">
        <v>331</v>
      </c>
      <c r="T162" s="38" t="s">
        <v>332</v>
      </c>
      <c r="U162" s="11" t="s">
        <v>22</v>
      </c>
      <c r="V162" s="11">
        <v>3846666</v>
      </c>
      <c r="W162" s="11" t="s">
        <v>23</v>
      </c>
      <c r="X162" s="1" t="s">
        <v>46</v>
      </c>
      <c r="Y162" s="1" t="s">
        <v>41</v>
      </c>
      <c r="Z162" s="11"/>
      <c r="AA162" s="11"/>
      <c r="AB162" s="11"/>
      <c r="AC162" s="22">
        <f t="shared" si="48"/>
        <v>3000000</v>
      </c>
      <c r="AD162" s="207" t="s">
        <v>638</v>
      </c>
      <c r="AE162" s="357">
        <f>300000+300000+286700+164577.5</f>
        <v>1051277.5</v>
      </c>
      <c r="AF162" s="232">
        <f t="shared" si="43"/>
        <v>1948722.5</v>
      </c>
      <c r="AG162" s="267" t="s">
        <v>656</v>
      </c>
      <c r="AH162" s="277" t="s">
        <v>657</v>
      </c>
      <c r="AI162" s="415">
        <f>300000+300000+286700+164577.5</f>
        <v>1051277.5</v>
      </c>
      <c r="AJ162" s="262">
        <f t="shared" si="47"/>
        <v>1948722.5</v>
      </c>
      <c r="AK162" s="267" t="s">
        <v>658</v>
      </c>
      <c r="AL162" s="267" t="s">
        <v>46</v>
      </c>
      <c r="AM162" s="381">
        <f>300000+300000+286700+164577.5</f>
        <v>1051277.5</v>
      </c>
      <c r="AN162" s="12"/>
    </row>
    <row r="163" spans="1:40" ht="100.5" customHeight="1" x14ac:dyDescent="0.2">
      <c r="A163" s="9" t="s">
        <v>105</v>
      </c>
      <c r="B163" s="10" t="s">
        <v>1</v>
      </c>
      <c r="C163" s="10" t="s">
        <v>106</v>
      </c>
      <c r="D163" s="168" t="s">
        <v>18</v>
      </c>
      <c r="E163" s="18" t="s">
        <v>128</v>
      </c>
      <c r="F163" s="1" t="s">
        <v>193</v>
      </c>
      <c r="G163" s="18" t="s">
        <v>1</v>
      </c>
      <c r="H163" s="1" t="s">
        <v>199</v>
      </c>
      <c r="I163" s="11" t="s">
        <v>113</v>
      </c>
      <c r="J163" s="13">
        <v>4</v>
      </c>
      <c r="K163" s="13">
        <v>4</v>
      </c>
      <c r="L163" s="13">
        <v>8</v>
      </c>
      <c r="M163" s="13">
        <v>1</v>
      </c>
      <c r="N163" s="11" t="s">
        <v>24</v>
      </c>
      <c r="O163" s="273" t="s">
        <v>330</v>
      </c>
      <c r="P163" s="152">
        <v>5000000</v>
      </c>
      <c r="Q163" s="13">
        <v>0</v>
      </c>
      <c r="R163" s="13">
        <v>0</v>
      </c>
      <c r="S163" s="38" t="s">
        <v>331</v>
      </c>
      <c r="T163" s="38" t="s">
        <v>332</v>
      </c>
      <c r="U163" s="11" t="s">
        <v>22</v>
      </c>
      <c r="V163" s="11">
        <v>3846666</v>
      </c>
      <c r="W163" s="11" t="s">
        <v>23</v>
      </c>
      <c r="X163" s="1" t="s">
        <v>26</v>
      </c>
      <c r="Y163" s="1" t="s">
        <v>41</v>
      </c>
      <c r="Z163" s="11"/>
      <c r="AA163" s="11"/>
      <c r="AB163" s="11"/>
      <c r="AC163" s="22">
        <f t="shared" si="48"/>
        <v>5000000</v>
      </c>
      <c r="AD163" s="265"/>
      <c r="AE163" s="265"/>
      <c r="AF163" s="258">
        <f t="shared" si="43"/>
        <v>5000000</v>
      </c>
      <c r="AG163" s="265"/>
      <c r="AH163" s="265"/>
      <c r="AI163" s="414"/>
      <c r="AJ163" s="258">
        <f t="shared" si="47"/>
        <v>5000000</v>
      </c>
      <c r="AK163" s="265"/>
      <c r="AL163" s="265"/>
      <c r="AM163" s="305"/>
      <c r="AN163" s="245"/>
    </row>
    <row r="164" spans="1:40" ht="175.5" customHeight="1" x14ac:dyDescent="0.2">
      <c r="A164" s="9" t="s">
        <v>105</v>
      </c>
      <c r="B164" s="10" t="s">
        <v>1</v>
      </c>
      <c r="C164" s="10" t="s">
        <v>106</v>
      </c>
      <c r="D164" s="168" t="s">
        <v>18</v>
      </c>
      <c r="E164" s="18" t="s">
        <v>128</v>
      </c>
      <c r="F164" s="1" t="s">
        <v>193</v>
      </c>
      <c r="G164" s="18" t="s">
        <v>1</v>
      </c>
      <c r="H164" s="1" t="s">
        <v>114</v>
      </c>
      <c r="I164" s="11" t="s">
        <v>115</v>
      </c>
      <c r="J164" s="13">
        <v>4</v>
      </c>
      <c r="K164" s="13">
        <v>4</v>
      </c>
      <c r="L164" s="13">
        <v>8</v>
      </c>
      <c r="M164" s="13">
        <v>1</v>
      </c>
      <c r="N164" s="11" t="s">
        <v>24</v>
      </c>
      <c r="O164" s="273" t="s">
        <v>330</v>
      </c>
      <c r="P164" s="152">
        <v>3500000</v>
      </c>
      <c r="Q164" s="13">
        <v>0</v>
      </c>
      <c r="R164" s="13">
        <v>0</v>
      </c>
      <c r="S164" s="38" t="s">
        <v>331</v>
      </c>
      <c r="T164" s="38" t="s">
        <v>332</v>
      </c>
      <c r="U164" s="11" t="s">
        <v>22</v>
      </c>
      <c r="V164" s="11">
        <v>3846666</v>
      </c>
      <c r="W164" s="11" t="s">
        <v>23</v>
      </c>
      <c r="X164" s="1" t="s">
        <v>26</v>
      </c>
      <c r="Y164" s="1" t="s">
        <v>41</v>
      </c>
      <c r="Z164" s="11"/>
      <c r="AA164" s="11"/>
      <c r="AB164" s="11"/>
      <c r="AC164" s="22">
        <f t="shared" si="48"/>
        <v>3500000</v>
      </c>
      <c r="AD164" s="231">
        <v>9923</v>
      </c>
      <c r="AE164" s="359">
        <v>3500000</v>
      </c>
      <c r="AF164" s="232">
        <f t="shared" si="43"/>
        <v>0</v>
      </c>
      <c r="AG164" s="263">
        <v>15223</v>
      </c>
      <c r="AH164" s="266">
        <v>45056</v>
      </c>
      <c r="AI164" s="315">
        <v>3500000</v>
      </c>
      <c r="AJ164" s="262">
        <f t="shared" si="47"/>
        <v>0</v>
      </c>
      <c r="AK164" s="263" t="s">
        <v>645</v>
      </c>
      <c r="AL164" s="263" t="s">
        <v>646</v>
      </c>
      <c r="AM164" s="305"/>
      <c r="AN164" s="245"/>
    </row>
    <row r="165" spans="1:40" ht="129.75" customHeight="1" x14ac:dyDescent="0.2">
      <c r="A165" s="21" t="s">
        <v>105</v>
      </c>
      <c r="B165" s="10" t="s">
        <v>1</v>
      </c>
      <c r="C165" s="10" t="s">
        <v>319</v>
      </c>
      <c r="D165" s="168" t="s">
        <v>18</v>
      </c>
      <c r="E165" s="18" t="s">
        <v>163</v>
      </c>
      <c r="F165" s="18" t="s">
        <v>200</v>
      </c>
      <c r="G165" s="18" t="s">
        <v>1</v>
      </c>
      <c r="H165" s="4" t="s">
        <v>169</v>
      </c>
      <c r="I165" s="4" t="s">
        <v>170</v>
      </c>
      <c r="J165" s="4">
        <v>3</v>
      </c>
      <c r="K165" s="4">
        <v>3</v>
      </c>
      <c r="L165" s="4">
        <v>9</v>
      </c>
      <c r="M165" s="13">
        <v>1</v>
      </c>
      <c r="N165" s="4" t="s">
        <v>24</v>
      </c>
      <c r="O165" s="13" t="s">
        <v>330</v>
      </c>
      <c r="P165" s="152">
        <v>20000000</v>
      </c>
      <c r="Q165" s="13">
        <v>0</v>
      </c>
      <c r="R165" s="13">
        <v>0</v>
      </c>
      <c r="S165" s="38" t="s">
        <v>331</v>
      </c>
      <c r="T165" s="38" t="s">
        <v>332</v>
      </c>
      <c r="U165" s="11" t="s">
        <v>143</v>
      </c>
      <c r="V165" s="11">
        <v>3846666</v>
      </c>
      <c r="W165" s="6" t="s">
        <v>144</v>
      </c>
      <c r="X165" s="11" t="s">
        <v>26</v>
      </c>
      <c r="Y165" s="2" t="s">
        <v>143</v>
      </c>
      <c r="Z165" s="11"/>
      <c r="AA165" s="11"/>
      <c r="AB165" s="11"/>
      <c r="AC165" s="160">
        <f t="shared" si="48"/>
        <v>20000000</v>
      </c>
      <c r="AD165" s="243"/>
      <c r="AE165" s="243"/>
      <c r="AF165" s="242">
        <f t="shared" si="43"/>
        <v>20000000</v>
      </c>
      <c r="AG165" s="265"/>
      <c r="AH165" s="265"/>
      <c r="AI165" s="414"/>
      <c r="AJ165" s="258">
        <f t="shared" si="47"/>
        <v>20000000</v>
      </c>
      <c r="AK165" s="265"/>
      <c r="AL165" s="265"/>
      <c r="AM165" s="305"/>
      <c r="AN165" s="245"/>
    </row>
    <row r="166" spans="1:40" ht="82.5" customHeight="1" x14ac:dyDescent="0.2">
      <c r="A166" s="21" t="s">
        <v>105</v>
      </c>
      <c r="B166" s="10" t="s">
        <v>1</v>
      </c>
      <c r="C166" s="10" t="s">
        <v>319</v>
      </c>
      <c r="D166" s="168" t="s">
        <v>18</v>
      </c>
      <c r="E166" s="18" t="s">
        <v>163</v>
      </c>
      <c r="F166" s="18" t="s">
        <v>200</v>
      </c>
      <c r="G166" s="18" t="s">
        <v>1</v>
      </c>
      <c r="H166" s="4" t="s">
        <v>171</v>
      </c>
      <c r="I166" s="4" t="s">
        <v>172</v>
      </c>
      <c r="J166" s="4">
        <v>3</v>
      </c>
      <c r="K166" s="4">
        <v>3</v>
      </c>
      <c r="L166" s="4">
        <v>9</v>
      </c>
      <c r="M166" s="13">
        <v>1</v>
      </c>
      <c r="N166" s="4" t="s">
        <v>24</v>
      </c>
      <c r="O166" s="13" t="s">
        <v>330</v>
      </c>
      <c r="P166" s="152">
        <v>10000000</v>
      </c>
      <c r="Q166" s="13">
        <v>0</v>
      </c>
      <c r="R166" s="13">
        <v>0</v>
      </c>
      <c r="S166" s="38" t="s">
        <v>331</v>
      </c>
      <c r="T166" s="38" t="s">
        <v>332</v>
      </c>
      <c r="U166" s="11" t="s">
        <v>143</v>
      </c>
      <c r="V166" s="11">
        <v>3846666</v>
      </c>
      <c r="W166" s="6" t="s">
        <v>144</v>
      </c>
      <c r="X166" s="11" t="s">
        <v>26</v>
      </c>
      <c r="Y166" s="2" t="s">
        <v>143</v>
      </c>
      <c r="Z166" s="11"/>
      <c r="AA166" s="11"/>
      <c r="AB166" s="11"/>
      <c r="AC166" s="160">
        <f t="shared" si="48"/>
        <v>10000000</v>
      </c>
      <c r="AD166" s="243"/>
      <c r="AE166" s="243"/>
      <c r="AF166" s="242">
        <f t="shared" si="43"/>
        <v>10000000</v>
      </c>
      <c r="AG166" s="265"/>
      <c r="AH166" s="265"/>
      <c r="AI166" s="414"/>
      <c r="AJ166" s="258">
        <f t="shared" si="47"/>
        <v>10000000</v>
      </c>
      <c r="AK166" s="265"/>
      <c r="AL166" s="265"/>
      <c r="AM166" s="305"/>
      <c r="AN166" s="245"/>
    </row>
    <row r="167" spans="1:40" ht="50.1" customHeight="1" x14ac:dyDescent="0.2">
      <c r="A167" s="21" t="s">
        <v>96</v>
      </c>
      <c r="B167" s="10" t="s">
        <v>1</v>
      </c>
      <c r="C167" s="10" t="s">
        <v>320</v>
      </c>
      <c r="D167" s="168" t="s">
        <v>18</v>
      </c>
      <c r="E167" s="18" t="s">
        <v>163</v>
      </c>
      <c r="F167" s="18" t="s">
        <v>200</v>
      </c>
      <c r="G167" s="18" t="s">
        <v>1</v>
      </c>
      <c r="H167" s="4" t="s">
        <v>173</v>
      </c>
      <c r="I167" s="4">
        <v>81112100</v>
      </c>
      <c r="J167" s="3">
        <v>4</v>
      </c>
      <c r="K167" s="3">
        <v>4</v>
      </c>
      <c r="L167" s="3">
        <v>8</v>
      </c>
      <c r="M167" s="13">
        <v>1</v>
      </c>
      <c r="N167" s="4" t="s">
        <v>24</v>
      </c>
      <c r="O167" s="13" t="s">
        <v>330</v>
      </c>
      <c r="P167" s="152">
        <v>10000000</v>
      </c>
      <c r="Q167" s="13">
        <v>0</v>
      </c>
      <c r="R167" s="13">
        <v>0</v>
      </c>
      <c r="S167" s="38" t="s">
        <v>331</v>
      </c>
      <c r="T167" s="38" t="s">
        <v>332</v>
      </c>
      <c r="U167" s="11" t="s">
        <v>143</v>
      </c>
      <c r="V167" s="11">
        <v>3846666</v>
      </c>
      <c r="W167" s="6" t="s">
        <v>144</v>
      </c>
      <c r="X167" s="11" t="s">
        <v>26</v>
      </c>
      <c r="Y167" s="11" t="s">
        <v>156</v>
      </c>
      <c r="Z167" s="11"/>
      <c r="AA167" s="11"/>
      <c r="AB167" s="11"/>
      <c r="AC167" s="160">
        <f t="shared" si="48"/>
        <v>10000000</v>
      </c>
      <c r="AD167" s="203">
        <v>9223</v>
      </c>
      <c r="AE167" s="204">
        <v>8630573.4399999995</v>
      </c>
      <c r="AF167" s="224">
        <f t="shared" si="43"/>
        <v>1369426.5600000005</v>
      </c>
      <c r="AG167" s="263">
        <v>10723</v>
      </c>
      <c r="AH167" s="266">
        <v>45016</v>
      </c>
      <c r="AI167" s="415">
        <v>8630573.4399999995</v>
      </c>
      <c r="AJ167" s="262">
        <f t="shared" si="47"/>
        <v>1369426.5600000005</v>
      </c>
      <c r="AK167" s="263" t="s">
        <v>530</v>
      </c>
      <c r="AL167" s="267" t="s">
        <v>531</v>
      </c>
      <c r="AM167" s="304"/>
      <c r="AN167" s="12"/>
    </row>
    <row r="168" spans="1:40" ht="50.1" customHeight="1" x14ac:dyDescent="0.2">
      <c r="A168" s="21" t="s">
        <v>96</v>
      </c>
      <c r="B168" s="10" t="s">
        <v>1</v>
      </c>
      <c r="C168" s="10" t="s">
        <v>320</v>
      </c>
      <c r="D168" s="168" t="s">
        <v>18</v>
      </c>
      <c r="E168" s="18" t="s">
        <v>163</v>
      </c>
      <c r="F168" s="18" t="s">
        <v>200</v>
      </c>
      <c r="G168" s="18" t="s">
        <v>1</v>
      </c>
      <c r="H168" s="4" t="s">
        <v>174</v>
      </c>
      <c r="I168" s="4">
        <v>81112100</v>
      </c>
      <c r="J168" s="3">
        <v>1</v>
      </c>
      <c r="K168" s="3">
        <v>1</v>
      </c>
      <c r="L168" s="3">
        <v>4</v>
      </c>
      <c r="M168" s="13">
        <v>1</v>
      </c>
      <c r="N168" s="4" t="s">
        <v>24</v>
      </c>
      <c r="O168" s="13" t="s">
        <v>330</v>
      </c>
      <c r="P168" s="152">
        <v>1672980</v>
      </c>
      <c r="Q168" s="13">
        <v>1</v>
      </c>
      <c r="R168" s="13">
        <v>3</v>
      </c>
      <c r="S168" s="38" t="s">
        <v>331</v>
      </c>
      <c r="T168" s="38" t="s">
        <v>332</v>
      </c>
      <c r="U168" s="11" t="s">
        <v>143</v>
      </c>
      <c r="V168" s="11">
        <v>3846666</v>
      </c>
      <c r="W168" s="6" t="s">
        <v>144</v>
      </c>
      <c r="X168" s="11" t="s">
        <v>26</v>
      </c>
      <c r="Y168" s="11" t="s">
        <v>156</v>
      </c>
      <c r="Z168" s="11"/>
      <c r="AA168" s="11"/>
      <c r="AB168" s="11"/>
      <c r="AC168" s="160">
        <f t="shared" si="48"/>
        <v>1672980</v>
      </c>
      <c r="AD168" s="203">
        <v>423</v>
      </c>
      <c r="AE168" s="204">
        <v>1672980</v>
      </c>
      <c r="AF168" s="224">
        <f t="shared" si="43"/>
        <v>0</v>
      </c>
      <c r="AG168" s="263">
        <v>423</v>
      </c>
      <c r="AH168" s="266">
        <v>44932</v>
      </c>
      <c r="AI168" s="413">
        <v>1672980</v>
      </c>
      <c r="AJ168" s="262">
        <f t="shared" si="47"/>
        <v>0</v>
      </c>
      <c r="AK168" s="263"/>
      <c r="AL168" s="267" t="s">
        <v>469</v>
      </c>
      <c r="AM168" s="319">
        <f>418245+418245+418245+418245</f>
        <v>1672980</v>
      </c>
      <c r="AN168" s="12"/>
    </row>
    <row r="169" spans="1:40" ht="85.5" customHeight="1" x14ac:dyDescent="0.2">
      <c r="A169" s="9" t="s">
        <v>116</v>
      </c>
      <c r="B169" s="10" t="s">
        <v>1</v>
      </c>
      <c r="C169" s="10" t="s">
        <v>117</v>
      </c>
      <c r="D169" s="167" t="s">
        <v>19</v>
      </c>
      <c r="E169" s="18" t="s">
        <v>128</v>
      </c>
      <c r="F169" s="1" t="s">
        <v>193</v>
      </c>
      <c r="G169" s="18" t="s">
        <v>1</v>
      </c>
      <c r="H169" s="11" t="s">
        <v>118</v>
      </c>
      <c r="I169" s="11" t="s">
        <v>1</v>
      </c>
      <c r="J169" s="13" t="s">
        <v>53</v>
      </c>
      <c r="K169" s="13" t="s">
        <v>53</v>
      </c>
      <c r="L169" s="13" t="s">
        <v>53</v>
      </c>
      <c r="M169" s="13" t="s">
        <v>53</v>
      </c>
      <c r="N169" s="11" t="s">
        <v>45</v>
      </c>
      <c r="O169" s="13" t="s">
        <v>405</v>
      </c>
      <c r="P169" s="152">
        <v>4286184</v>
      </c>
      <c r="Q169" s="13">
        <v>0</v>
      </c>
      <c r="R169" s="13">
        <v>0</v>
      </c>
      <c r="S169" s="38" t="s">
        <v>331</v>
      </c>
      <c r="T169" s="38" t="s">
        <v>332</v>
      </c>
      <c r="U169" s="11" t="s">
        <v>22</v>
      </c>
      <c r="V169" s="11">
        <v>3846666</v>
      </c>
      <c r="W169" s="11" t="s">
        <v>23</v>
      </c>
      <c r="X169" s="11" t="s">
        <v>26</v>
      </c>
      <c r="Y169" s="11" t="s">
        <v>41</v>
      </c>
      <c r="Z169" s="11"/>
      <c r="AA169" s="11"/>
      <c r="AB169" s="11"/>
      <c r="AC169" s="160">
        <f t="shared" si="48"/>
        <v>4286184</v>
      </c>
      <c r="AD169" s="237" t="s">
        <v>686</v>
      </c>
      <c r="AE169" s="224">
        <f>338600+356720+413080+454260+489410</f>
        <v>2052070</v>
      </c>
      <c r="AF169" s="224">
        <f t="shared" si="43"/>
        <v>2234114</v>
      </c>
      <c r="AG169" s="267" t="s">
        <v>687</v>
      </c>
      <c r="AH169" s="277" t="s">
        <v>688</v>
      </c>
      <c r="AI169" s="413">
        <f>338600+356720+413080+454260+489410</f>
        <v>2052070</v>
      </c>
      <c r="AJ169" s="262">
        <f t="shared" si="47"/>
        <v>2234114</v>
      </c>
      <c r="AK169" s="263" t="s">
        <v>53</v>
      </c>
      <c r="AL169" s="267" t="s">
        <v>498</v>
      </c>
      <c r="AM169" s="382">
        <f>338600+356720+413080+454260+489410</f>
        <v>2052070</v>
      </c>
      <c r="AN169" s="12"/>
    </row>
    <row r="170" spans="1:40" ht="119.25" customHeight="1" x14ac:dyDescent="0.2">
      <c r="A170" s="9" t="s">
        <v>116</v>
      </c>
      <c r="B170" s="10" t="s">
        <v>1</v>
      </c>
      <c r="C170" s="10" t="s">
        <v>117</v>
      </c>
      <c r="D170" s="167" t="s">
        <v>19</v>
      </c>
      <c r="E170" s="18" t="s">
        <v>128</v>
      </c>
      <c r="F170" s="1" t="s">
        <v>193</v>
      </c>
      <c r="G170" s="18" t="s">
        <v>1</v>
      </c>
      <c r="H170" s="396" t="s">
        <v>747</v>
      </c>
      <c r="I170" s="396" t="s">
        <v>750</v>
      </c>
      <c r="J170" s="77" t="s">
        <v>748</v>
      </c>
      <c r="K170" s="77" t="s">
        <v>748</v>
      </c>
      <c r="L170" s="77" t="s">
        <v>749</v>
      </c>
      <c r="M170" s="1">
        <v>1</v>
      </c>
      <c r="N170" s="11" t="s">
        <v>24</v>
      </c>
      <c r="O170" s="13" t="s">
        <v>330</v>
      </c>
      <c r="P170" s="152">
        <v>200000</v>
      </c>
      <c r="Q170" s="13">
        <v>0</v>
      </c>
      <c r="R170" s="13">
        <v>0</v>
      </c>
      <c r="S170" s="38" t="s">
        <v>331</v>
      </c>
      <c r="T170" s="38" t="s">
        <v>332</v>
      </c>
      <c r="U170" s="11" t="s">
        <v>22</v>
      </c>
      <c r="V170" s="11">
        <v>3846666</v>
      </c>
      <c r="W170" s="11" t="s">
        <v>23</v>
      </c>
      <c r="X170" s="11" t="s">
        <v>26</v>
      </c>
      <c r="Y170" s="11" t="s">
        <v>41</v>
      </c>
      <c r="Z170" s="11"/>
      <c r="AA170" s="397">
        <v>2124624</v>
      </c>
      <c r="AB170" s="158">
        <v>84536</v>
      </c>
      <c r="AC170" s="160">
        <f t="shared" si="48"/>
        <v>2240088</v>
      </c>
      <c r="AD170" s="243">
        <v>20023</v>
      </c>
      <c r="AE170" s="160">
        <v>2240088</v>
      </c>
      <c r="AF170" s="242">
        <f t="shared" si="43"/>
        <v>0</v>
      </c>
      <c r="AG170" s="265"/>
      <c r="AH170" s="265"/>
      <c r="AI170" s="416"/>
      <c r="AJ170" s="258">
        <f t="shared" si="47"/>
        <v>2240088</v>
      </c>
      <c r="AK170" s="265"/>
      <c r="AL170" s="265"/>
      <c r="AM170" s="305"/>
      <c r="AN170" s="368" t="s">
        <v>591</v>
      </c>
    </row>
    <row r="171" spans="1:40" ht="50.1" customHeight="1" x14ac:dyDescent="0.2">
      <c r="A171" s="174" t="s">
        <v>822</v>
      </c>
      <c r="B171" s="10" t="s">
        <v>1</v>
      </c>
      <c r="C171" s="5" t="s">
        <v>321</v>
      </c>
      <c r="D171" s="170" t="s">
        <v>19</v>
      </c>
      <c r="E171" s="18" t="s">
        <v>32</v>
      </c>
      <c r="F171" s="18" t="s">
        <v>198</v>
      </c>
      <c r="G171" s="18" t="s">
        <v>1</v>
      </c>
      <c r="H171" s="4" t="s">
        <v>14</v>
      </c>
      <c r="I171" s="4">
        <v>93141506</v>
      </c>
      <c r="J171" s="4">
        <v>6</v>
      </c>
      <c r="K171" s="4">
        <v>6</v>
      </c>
      <c r="L171" s="4">
        <v>3</v>
      </c>
      <c r="M171" s="4">
        <v>1</v>
      </c>
      <c r="N171" s="4" t="s">
        <v>24</v>
      </c>
      <c r="O171" s="13" t="s">
        <v>330</v>
      </c>
      <c r="P171" s="154">
        <v>6180000</v>
      </c>
      <c r="Q171" s="13">
        <v>0</v>
      </c>
      <c r="R171" s="13">
        <v>0</v>
      </c>
      <c r="S171" s="38" t="s">
        <v>331</v>
      </c>
      <c r="T171" s="38" t="s">
        <v>332</v>
      </c>
      <c r="U171" s="1" t="s">
        <v>22</v>
      </c>
      <c r="V171" s="1">
        <v>3846666</v>
      </c>
      <c r="W171" s="6" t="s">
        <v>23</v>
      </c>
      <c r="X171" s="4" t="s">
        <v>26</v>
      </c>
      <c r="Y171" s="2" t="s">
        <v>30</v>
      </c>
      <c r="Z171" s="2"/>
      <c r="AA171" s="2"/>
      <c r="AB171" s="2"/>
      <c r="AC171" s="160">
        <f t="shared" si="48"/>
        <v>6180000</v>
      </c>
      <c r="AD171" s="243">
        <v>21923</v>
      </c>
      <c r="AE171" s="244">
        <v>6180000</v>
      </c>
      <c r="AF171" s="242">
        <f t="shared" si="43"/>
        <v>0</v>
      </c>
      <c r="AG171" s="265"/>
      <c r="AH171" s="265"/>
      <c r="AI171" s="416"/>
      <c r="AJ171" s="258">
        <f t="shared" si="47"/>
        <v>6180000</v>
      </c>
      <c r="AK171" s="265"/>
      <c r="AL171" s="265"/>
      <c r="AM171" s="305"/>
      <c r="AN171" s="245"/>
    </row>
    <row r="172" spans="1:40" ht="72" customHeight="1" x14ac:dyDescent="0.2">
      <c r="A172" s="21" t="s">
        <v>328</v>
      </c>
      <c r="B172" s="11" t="s">
        <v>1</v>
      </c>
      <c r="C172" s="12"/>
      <c r="D172" s="1" t="s">
        <v>20</v>
      </c>
      <c r="E172" s="18" t="s">
        <v>32</v>
      </c>
      <c r="F172" s="18" t="s">
        <v>198</v>
      </c>
      <c r="G172" s="18" t="s">
        <v>1</v>
      </c>
      <c r="H172" s="4" t="s">
        <v>15</v>
      </c>
      <c r="I172" s="40" t="s">
        <v>763</v>
      </c>
      <c r="J172" s="40" t="s">
        <v>765</v>
      </c>
      <c r="K172" s="40" t="s">
        <v>764</v>
      </c>
      <c r="L172" s="4">
        <v>1</v>
      </c>
      <c r="M172" s="4">
        <v>1</v>
      </c>
      <c r="N172" s="4" t="s">
        <v>24</v>
      </c>
      <c r="O172" s="13" t="s">
        <v>330</v>
      </c>
      <c r="P172" s="154">
        <f>442000*1.03</f>
        <v>455260</v>
      </c>
      <c r="Q172" s="13">
        <v>0</v>
      </c>
      <c r="R172" s="13">
        <v>0</v>
      </c>
      <c r="S172" s="38" t="s">
        <v>331</v>
      </c>
      <c r="T172" s="38" t="s">
        <v>332</v>
      </c>
      <c r="U172" s="1" t="s">
        <v>22</v>
      </c>
      <c r="V172" s="1">
        <v>3846666</v>
      </c>
      <c r="W172" s="6" t="s">
        <v>23</v>
      </c>
      <c r="X172" s="4" t="s">
        <v>27</v>
      </c>
      <c r="Y172" s="2" t="s">
        <v>30</v>
      </c>
      <c r="Z172" s="2"/>
      <c r="AA172" s="2"/>
      <c r="AB172" s="2"/>
      <c r="AC172" s="160">
        <f t="shared" si="48"/>
        <v>455260</v>
      </c>
      <c r="AD172" s="243"/>
      <c r="AE172" s="243"/>
      <c r="AF172" s="242">
        <f t="shared" si="43"/>
        <v>455260</v>
      </c>
      <c r="AG172" s="265"/>
      <c r="AH172" s="265"/>
      <c r="AI172" s="416"/>
      <c r="AJ172" s="258">
        <f t="shared" si="47"/>
        <v>455260</v>
      </c>
      <c r="AK172" s="265"/>
      <c r="AL172" s="265"/>
      <c r="AM172" s="305"/>
      <c r="AN172" s="245"/>
    </row>
    <row r="173" spans="1:40" ht="51" customHeight="1" x14ac:dyDescent="0.2">
      <c r="A173" s="21" t="s">
        <v>57</v>
      </c>
      <c r="B173" s="11" t="s">
        <v>1</v>
      </c>
      <c r="C173" s="12"/>
      <c r="D173" s="1" t="s">
        <v>21</v>
      </c>
      <c r="E173" s="18" t="s">
        <v>32</v>
      </c>
      <c r="F173" s="18" t="s">
        <v>198</v>
      </c>
      <c r="G173" s="18" t="s">
        <v>1</v>
      </c>
      <c r="H173" s="4" t="s">
        <v>16</v>
      </c>
      <c r="I173" s="4" t="s">
        <v>616</v>
      </c>
      <c r="J173" s="4" t="s">
        <v>617</v>
      </c>
      <c r="K173" s="4" t="s">
        <v>617</v>
      </c>
      <c r="L173" s="4">
        <v>1</v>
      </c>
      <c r="M173" s="4">
        <v>1</v>
      </c>
      <c r="N173" s="4" t="s">
        <v>24</v>
      </c>
      <c r="O173" s="13" t="s">
        <v>330</v>
      </c>
      <c r="P173" s="154">
        <f>1000000*1.03</f>
        <v>1030000</v>
      </c>
      <c r="Q173" s="13">
        <v>0</v>
      </c>
      <c r="R173" s="13">
        <v>0</v>
      </c>
      <c r="S173" s="38" t="s">
        <v>331</v>
      </c>
      <c r="T173" s="38" t="s">
        <v>332</v>
      </c>
      <c r="U173" s="1" t="s">
        <v>22</v>
      </c>
      <c r="V173" s="1">
        <v>3846666</v>
      </c>
      <c r="W173" s="6" t="s">
        <v>23</v>
      </c>
      <c r="X173" s="4" t="s">
        <v>27</v>
      </c>
      <c r="Y173" s="2" t="s">
        <v>30</v>
      </c>
      <c r="Z173" s="2"/>
      <c r="AA173" s="2"/>
      <c r="AB173" s="2"/>
      <c r="AC173" s="160">
        <f t="shared" si="48"/>
        <v>1030000</v>
      </c>
      <c r="AD173" s="203">
        <v>20723</v>
      </c>
      <c r="AE173" s="209">
        <v>1030000</v>
      </c>
      <c r="AF173" s="224">
        <f t="shared" si="43"/>
        <v>0</v>
      </c>
      <c r="AG173" s="265"/>
      <c r="AH173" s="265"/>
      <c r="AI173" s="416"/>
      <c r="AJ173" s="258">
        <f t="shared" si="47"/>
        <v>1030000</v>
      </c>
      <c r="AK173" s="265"/>
      <c r="AL173" s="265"/>
      <c r="AM173" s="305"/>
      <c r="AN173" s="245"/>
    </row>
    <row r="174" spans="1:40" ht="72" customHeight="1" x14ac:dyDescent="0.2">
      <c r="A174" s="175" t="s">
        <v>327</v>
      </c>
      <c r="B174" s="11" t="s">
        <v>1</v>
      </c>
      <c r="C174" s="12"/>
      <c r="D174" s="171" t="s">
        <v>207</v>
      </c>
      <c r="E174" s="4" t="s">
        <v>127</v>
      </c>
      <c r="F174" s="4" t="s">
        <v>193</v>
      </c>
      <c r="G174" s="4" t="s">
        <v>1</v>
      </c>
      <c r="H174" s="4" t="s">
        <v>208</v>
      </c>
      <c r="I174" s="4" t="s">
        <v>1</v>
      </c>
      <c r="J174" s="4" t="s">
        <v>1</v>
      </c>
      <c r="K174" s="4" t="s">
        <v>1</v>
      </c>
      <c r="L174" s="4" t="s">
        <v>1</v>
      </c>
      <c r="M174" s="4" t="s">
        <v>1</v>
      </c>
      <c r="N174" s="4" t="s">
        <v>45</v>
      </c>
      <c r="O174" s="13" t="s">
        <v>329</v>
      </c>
      <c r="P174" s="152">
        <v>3538067</v>
      </c>
      <c r="Q174" s="13">
        <v>0</v>
      </c>
      <c r="R174" s="13">
        <v>0</v>
      </c>
      <c r="S174" s="38" t="s">
        <v>331</v>
      </c>
      <c r="T174" s="38" t="s">
        <v>332</v>
      </c>
      <c r="U174" s="1" t="s">
        <v>22</v>
      </c>
      <c r="V174" s="1">
        <v>3846666</v>
      </c>
      <c r="W174" s="6" t="s">
        <v>23</v>
      </c>
      <c r="X174" s="4" t="s">
        <v>217</v>
      </c>
      <c r="Y174" s="4" t="s">
        <v>1</v>
      </c>
      <c r="Z174" s="12"/>
      <c r="AA174" s="12"/>
      <c r="AB174" s="12"/>
      <c r="AC174" s="160">
        <f t="shared" si="48"/>
        <v>3538067</v>
      </c>
      <c r="AD174" s="243"/>
      <c r="AE174" s="243"/>
      <c r="AF174" s="242">
        <f t="shared" ref="AF174:AF178" si="49">+AC174-AE174</f>
        <v>3538067</v>
      </c>
      <c r="AG174" s="265"/>
      <c r="AH174" s="265"/>
      <c r="AI174" s="416"/>
      <c r="AJ174" s="258">
        <f t="shared" si="47"/>
        <v>3538067</v>
      </c>
      <c r="AK174" s="265"/>
      <c r="AL174" s="265"/>
      <c r="AM174" s="305"/>
      <c r="AN174" s="245"/>
    </row>
    <row r="175" spans="1:40" ht="72" customHeight="1" x14ac:dyDescent="0.2">
      <c r="A175" s="21" t="s">
        <v>322</v>
      </c>
      <c r="B175" s="11" t="s">
        <v>1</v>
      </c>
      <c r="C175" s="11" t="s">
        <v>323</v>
      </c>
      <c r="D175" s="172" t="s">
        <v>209</v>
      </c>
      <c r="E175" s="4" t="s">
        <v>195</v>
      </c>
      <c r="F175" s="4" t="s">
        <v>195</v>
      </c>
      <c r="G175" s="4" t="s">
        <v>1</v>
      </c>
      <c r="H175" s="4" t="s">
        <v>210</v>
      </c>
      <c r="I175" s="4" t="s">
        <v>1</v>
      </c>
      <c r="J175" s="4" t="s">
        <v>1</v>
      </c>
      <c r="K175" s="4" t="s">
        <v>1</v>
      </c>
      <c r="L175" s="4" t="s">
        <v>1</v>
      </c>
      <c r="M175" s="4" t="s">
        <v>1</v>
      </c>
      <c r="N175" s="4" t="s">
        <v>45</v>
      </c>
      <c r="O175" s="13" t="s">
        <v>329</v>
      </c>
      <c r="P175" s="152">
        <v>98713275</v>
      </c>
      <c r="Q175" s="13">
        <v>0</v>
      </c>
      <c r="R175" s="13">
        <v>0</v>
      </c>
      <c r="S175" s="38" t="s">
        <v>331</v>
      </c>
      <c r="T175" s="38" t="s">
        <v>332</v>
      </c>
      <c r="U175" s="13" t="s">
        <v>221</v>
      </c>
      <c r="V175" s="13">
        <v>3846666</v>
      </c>
      <c r="W175" s="32" t="s">
        <v>142</v>
      </c>
      <c r="X175" s="4" t="s">
        <v>218</v>
      </c>
      <c r="Y175" s="4" t="s">
        <v>1</v>
      </c>
      <c r="Z175" s="13"/>
      <c r="AA175" s="13"/>
      <c r="AB175" s="13"/>
      <c r="AC175" s="160">
        <f t="shared" si="48"/>
        <v>98713275</v>
      </c>
      <c r="AD175" s="243"/>
      <c r="AE175" s="243"/>
      <c r="AF175" s="242">
        <f t="shared" si="49"/>
        <v>98713275</v>
      </c>
      <c r="AG175" s="265"/>
      <c r="AH175" s="265"/>
      <c r="AI175" s="416"/>
      <c r="AJ175" s="258">
        <f t="shared" si="47"/>
        <v>98713275</v>
      </c>
      <c r="AK175" s="265"/>
      <c r="AL175" s="265"/>
      <c r="AM175" s="305"/>
      <c r="AN175" s="245"/>
    </row>
    <row r="176" spans="1:40" ht="72" customHeight="1" x14ac:dyDescent="0.2">
      <c r="A176" s="175" t="s">
        <v>587</v>
      </c>
      <c r="B176" s="11" t="s">
        <v>1</v>
      </c>
      <c r="C176" s="11" t="s">
        <v>212</v>
      </c>
      <c r="D176" s="4" t="s">
        <v>211</v>
      </c>
      <c r="E176" s="4" t="s">
        <v>128</v>
      </c>
      <c r="F176" s="4" t="s">
        <v>128</v>
      </c>
      <c r="G176" s="4" t="s">
        <v>1</v>
      </c>
      <c r="H176" s="4" t="s">
        <v>212</v>
      </c>
      <c r="I176" s="4" t="s">
        <v>1</v>
      </c>
      <c r="J176" s="4" t="s">
        <v>1</v>
      </c>
      <c r="K176" s="4" t="s">
        <v>1</v>
      </c>
      <c r="L176" s="4" t="s">
        <v>1</v>
      </c>
      <c r="M176" s="4" t="s">
        <v>1</v>
      </c>
      <c r="N176" s="4" t="s">
        <v>45</v>
      </c>
      <c r="O176" s="13" t="s">
        <v>329</v>
      </c>
      <c r="P176" s="152">
        <v>75000</v>
      </c>
      <c r="Q176" s="13">
        <v>0</v>
      </c>
      <c r="R176" s="13">
        <v>0</v>
      </c>
      <c r="S176" s="38" t="s">
        <v>331</v>
      </c>
      <c r="T176" s="38" t="s">
        <v>332</v>
      </c>
      <c r="U176" s="1" t="s">
        <v>22</v>
      </c>
      <c r="V176" s="1">
        <v>3846666</v>
      </c>
      <c r="W176" s="6" t="s">
        <v>23</v>
      </c>
      <c r="X176" s="4" t="s">
        <v>219</v>
      </c>
      <c r="Y176" s="4" t="s">
        <v>1</v>
      </c>
      <c r="Z176" s="13"/>
      <c r="AA176" s="152">
        <v>2000</v>
      </c>
      <c r="AB176" s="13"/>
      <c r="AC176" s="160">
        <f t="shared" si="48"/>
        <v>77000</v>
      </c>
      <c r="AD176" s="203">
        <v>12623</v>
      </c>
      <c r="AE176" s="209">
        <v>77000</v>
      </c>
      <c r="AF176" s="224">
        <f>+AC176-AE176</f>
        <v>0</v>
      </c>
      <c r="AG176" s="263">
        <v>14423</v>
      </c>
      <c r="AH176" s="266">
        <v>45051</v>
      </c>
      <c r="AI176" s="417">
        <v>77000</v>
      </c>
      <c r="AJ176" s="262">
        <f t="shared" si="47"/>
        <v>0</v>
      </c>
      <c r="AK176" s="263" t="s">
        <v>53</v>
      </c>
      <c r="AL176" s="263" t="s">
        <v>568</v>
      </c>
      <c r="AM176" s="383">
        <v>77000</v>
      </c>
      <c r="AN176" s="243" t="s">
        <v>588</v>
      </c>
    </row>
    <row r="177" spans="1:41" ht="72" customHeight="1" x14ac:dyDescent="0.2">
      <c r="A177" s="294" t="s">
        <v>324</v>
      </c>
      <c r="B177" s="11" t="s">
        <v>1</v>
      </c>
      <c r="C177" s="4" t="s">
        <v>214</v>
      </c>
      <c r="D177" s="31" t="s">
        <v>213</v>
      </c>
      <c r="E177" s="5" t="s">
        <v>127</v>
      </c>
      <c r="F177" s="5" t="s">
        <v>193</v>
      </c>
      <c r="G177" s="5" t="s">
        <v>1</v>
      </c>
      <c r="H177" s="5" t="s">
        <v>214</v>
      </c>
      <c r="I177" s="4" t="s">
        <v>1</v>
      </c>
      <c r="J177" s="4" t="s">
        <v>1</v>
      </c>
      <c r="K177" s="4" t="s">
        <v>1</v>
      </c>
      <c r="L177" s="4" t="s">
        <v>1</v>
      </c>
      <c r="M177" s="4" t="s">
        <v>1</v>
      </c>
      <c r="N177" s="4" t="s">
        <v>45</v>
      </c>
      <c r="O177" s="13" t="s">
        <v>329</v>
      </c>
      <c r="P177" s="152">
        <v>18000000</v>
      </c>
      <c r="Q177" s="13">
        <v>0</v>
      </c>
      <c r="R177" s="13">
        <v>0</v>
      </c>
      <c r="S177" s="38" t="s">
        <v>331</v>
      </c>
      <c r="T177" s="38" t="s">
        <v>332</v>
      </c>
      <c r="U177" s="1" t="s">
        <v>22</v>
      </c>
      <c r="V177" s="1">
        <v>3846666</v>
      </c>
      <c r="W177" s="6" t="s">
        <v>23</v>
      </c>
      <c r="X177" s="4" t="s">
        <v>214</v>
      </c>
      <c r="Y177" s="4" t="s">
        <v>1</v>
      </c>
      <c r="Z177" s="13"/>
      <c r="AA177" s="13"/>
      <c r="AB177" s="13"/>
      <c r="AC177" s="160">
        <f>P177+Z177+AA177-AB177</f>
        <v>18000000</v>
      </c>
      <c r="AD177" s="243"/>
      <c r="AE177" s="243"/>
      <c r="AF177" s="242">
        <f t="shared" si="49"/>
        <v>18000000</v>
      </c>
      <c r="AG177" s="265"/>
      <c r="AH177" s="265"/>
      <c r="AI177" s="416"/>
      <c r="AJ177" s="258">
        <f t="shared" si="47"/>
        <v>18000000</v>
      </c>
      <c r="AK177" s="265"/>
      <c r="AL177" s="265"/>
      <c r="AM177" s="305"/>
      <c r="AN177" s="245"/>
    </row>
    <row r="178" spans="1:41" ht="75.75" customHeight="1" x14ac:dyDescent="0.2">
      <c r="A178" s="295" t="s">
        <v>325</v>
      </c>
      <c r="B178" s="11" t="s">
        <v>1</v>
      </c>
      <c r="C178" s="4" t="s">
        <v>326</v>
      </c>
      <c r="D178" s="199" t="s">
        <v>215</v>
      </c>
      <c r="E178" s="5" t="s">
        <v>127</v>
      </c>
      <c r="F178" s="5" t="s">
        <v>193</v>
      </c>
      <c r="G178" s="5" t="s">
        <v>1</v>
      </c>
      <c r="H178" s="5" t="s">
        <v>216</v>
      </c>
      <c r="I178" s="4" t="s">
        <v>1</v>
      </c>
      <c r="J178" s="4" t="s">
        <v>1</v>
      </c>
      <c r="K178" s="4" t="s">
        <v>1</v>
      </c>
      <c r="L178" s="4" t="s">
        <v>1</v>
      </c>
      <c r="M178" s="4" t="s">
        <v>1</v>
      </c>
      <c r="N178" s="4" t="s">
        <v>45</v>
      </c>
      <c r="O178" s="13" t="s">
        <v>329</v>
      </c>
      <c r="P178" s="152">
        <v>26170717</v>
      </c>
      <c r="Q178" s="13">
        <v>0</v>
      </c>
      <c r="R178" s="13">
        <v>0</v>
      </c>
      <c r="S178" s="4" t="s">
        <v>331</v>
      </c>
      <c r="T178" s="4" t="s">
        <v>332</v>
      </c>
      <c r="U178" s="1" t="s">
        <v>22</v>
      </c>
      <c r="V178" s="1">
        <v>3846666</v>
      </c>
      <c r="W178" s="6" t="s">
        <v>23</v>
      </c>
      <c r="X178" s="4" t="s">
        <v>220</v>
      </c>
      <c r="Y178" s="4" t="s">
        <v>1</v>
      </c>
      <c r="Z178" s="13"/>
      <c r="AA178" s="152">
        <v>806837</v>
      </c>
      <c r="AB178" s="152">
        <v>2000</v>
      </c>
      <c r="AC178" s="160">
        <f t="shared" si="48"/>
        <v>26975554</v>
      </c>
      <c r="AD178" s="237" t="s">
        <v>586</v>
      </c>
      <c r="AE178" s="225">
        <f>19067000+361867+7448000</f>
        <v>26876867</v>
      </c>
      <c r="AF178" s="372">
        <f t="shared" si="49"/>
        <v>98687</v>
      </c>
      <c r="AG178" s="269" t="s">
        <v>606</v>
      </c>
      <c r="AH178" s="369">
        <v>45049</v>
      </c>
      <c r="AI178" s="370">
        <f>19067000+361867+7448000</f>
        <v>26876867</v>
      </c>
      <c r="AJ178" s="371">
        <f t="shared" si="47"/>
        <v>98687</v>
      </c>
      <c r="AK178" s="263" t="s">
        <v>53</v>
      </c>
      <c r="AL178" s="267" t="s">
        <v>605</v>
      </c>
      <c r="AM178" s="384">
        <f>19067000+361867+7448000</f>
        <v>26876867</v>
      </c>
      <c r="AN178" s="368" t="s">
        <v>591</v>
      </c>
    </row>
    <row r="179" spans="1:41" ht="93" customHeight="1" thickBot="1" x14ac:dyDescent="0.25">
      <c r="A179" s="296" t="s">
        <v>564</v>
      </c>
      <c r="B179" s="286" t="s">
        <v>1</v>
      </c>
      <c r="C179" s="176" t="s">
        <v>566</v>
      </c>
      <c r="D179" s="293" t="s">
        <v>565</v>
      </c>
      <c r="E179" s="287" t="s">
        <v>127</v>
      </c>
      <c r="F179" s="287" t="s">
        <v>193</v>
      </c>
      <c r="G179" s="287" t="s">
        <v>1</v>
      </c>
      <c r="H179" s="287" t="s">
        <v>566</v>
      </c>
      <c r="I179" s="176" t="s">
        <v>1</v>
      </c>
      <c r="J179" s="176" t="s">
        <v>1</v>
      </c>
      <c r="K179" s="176" t="s">
        <v>1</v>
      </c>
      <c r="L179" s="176" t="s">
        <v>1</v>
      </c>
      <c r="M179" s="176" t="s">
        <v>1</v>
      </c>
      <c r="N179" s="176" t="s">
        <v>45</v>
      </c>
      <c r="O179" s="288" t="s">
        <v>405</v>
      </c>
      <c r="P179" s="289">
        <v>0</v>
      </c>
      <c r="Q179" s="288">
        <v>0</v>
      </c>
      <c r="R179" s="288">
        <v>0</v>
      </c>
      <c r="S179" s="176" t="s">
        <v>331</v>
      </c>
      <c r="T179" s="176" t="s">
        <v>332</v>
      </c>
      <c r="U179" s="290" t="s">
        <v>22</v>
      </c>
      <c r="V179" s="290">
        <v>3846666</v>
      </c>
      <c r="W179" s="291" t="s">
        <v>23</v>
      </c>
      <c r="X179" s="176" t="s">
        <v>567</v>
      </c>
      <c r="Y179" s="176" t="s">
        <v>1</v>
      </c>
      <c r="Z179" s="289">
        <v>12000000</v>
      </c>
      <c r="AA179" s="289"/>
      <c r="AB179" s="288"/>
      <c r="AC179" s="292">
        <f t="shared" ref="AC179" si="50">P179+Z179+AA179-AB179</f>
        <v>12000000</v>
      </c>
      <c r="AD179" s="297" t="s">
        <v>827</v>
      </c>
      <c r="AE179" s="298">
        <f>285000+1082000</f>
        <v>1367000</v>
      </c>
      <c r="AF179" s="299">
        <f t="shared" ref="AF179" si="51">+AC179-AE179</f>
        <v>10633000</v>
      </c>
      <c r="AG179" s="301" t="s">
        <v>828</v>
      </c>
      <c r="AH179" s="418" t="s">
        <v>829</v>
      </c>
      <c r="AI179" s="370">
        <f>285000+1082000</f>
        <v>1367000</v>
      </c>
      <c r="AJ179" s="302">
        <f t="shared" ref="AJ179" si="52">+AC179-AI179</f>
        <v>10633000</v>
      </c>
      <c r="AK179" s="303" t="s">
        <v>53</v>
      </c>
      <c r="AL179" s="303" t="s">
        <v>568</v>
      </c>
      <c r="AM179" s="384">
        <f>285000+1082000</f>
        <v>1367000</v>
      </c>
      <c r="AN179" s="243" t="s">
        <v>441</v>
      </c>
    </row>
    <row r="180" spans="1:41" ht="33" customHeight="1" x14ac:dyDescent="0.2">
      <c r="AD180" s="362"/>
      <c r="AE180" s="284"/>
      <c r="AF180" s="284"/>
      <c r="AG180" s="407"/>
      <c r="AH180" s="407"/>
      <c r="AI180" s="407"/>
      <c r="AJ180" s="407"/>
      <c r="AK180" s="407"/>
      <c r="AL180" s="407"/>
      <c r="AM180" s="212">
        <v>275000</v>
      </c>
      <c r="AN180" s="212"/>
    </row>
    <row r="181" spans="1:41" s="400" customFormat="1" ht="40.5" customHeight="1" x14ac:dyDescent="0.25">
      <c r="A181" s="16"/>
      <c r="B181" s="16"/>
      <c r="C181" s="16"/>
      <c r="D181" s="367"/>
      <c r="E181" s="16"/>
      <c r="F181" s="16"/>
      <c r="G181" s="16"/>
      <c r="H181" s="395"/>
      <c r="I181" s="17"/>
      <c r="J181" s="17"/>
      <c r="K181" s="17"/>
      <c r="L181" s="17"/>
      <c r="M181" s="17"/>
      <c r="N181" s="17"/>
      <c r="O181" s="360"/>
      <c r="P181" s="148"/>
      <c r="Q181" s="17"/>
      <c r="R181" s="17"/>
      <c r="S181" s="17"/>
      <c r="T181" s="17"/>
      <c r="U181" s="17"/>
      <c r="V181" s="17"/>
      <c r="W181" s="17"/>
      <c r="X181" s="360"/>
      <c r="Y181" s="360"/>
      <c r="Z181" s="17"/>
      <c r="AA181" s="17"/>
      <c r="AB181" s="33"/>
      <c r="AC181" s="23"/>
      <c r="AD181" s="399"/>
      <c r="AE181" s="284">
        <f>SUBTOTAL(9,AE75:AE82)</f>
        <v>95251298</v>
      </c>
      <c r="AF181" s="284">
        <f t="shared" ref="AF181:AM181" si="53">SUBTOTAL(9,AF75:AF82)</f>
        <v>45383922</v>
      </c>
      <c r="AG181" s="284">
        <f t="shared" si="53"/>
        <v>44669</v>
      </c>
      <c r="AH181" s="284">
        <f t="shared" si="53"/>
        <v>135154</v>
      </c>
      <c r="AI181" s="284">
        <f t="shared" si="53"/>
        <v>92325544</v>
      </c>
      <c r="AJ181" s="284">
        <f t="shared" si="53"/>
        <v>48309676</v>
      </c>
      <c r="AK181" s="284">
        <f t="shared" si="53"/>
        <v>0</v>
      </c>
      <c r="AL181" s="284">
        <f t="shared" si="53"/>
        <v>0</v>
      </c>
      <c r="AM181" s="284">
        <f t="shared" si="53"/>
        <v>32270363.990000002</v>
      </c>
      <c r="AN181" s="284"/>
      <c r="AO181" s="284"/>
    </row>
    <row r="182" spans="1:41" s="400" customFormat="1" ht="32.25" customHeight="1" x14ac:dyDescent="0.25">
      <c r="A182" s="173"/>
      <c r="B182" s="68"/>
      <c r="C182" s="67"/>
      <c r="D182" s="69"/>
      <c r="E182" s="16"/>
      <c r="F182" s="16"/>
      <c r="G182" s="16"/>
      <c r="H182" s="395"/>
      <c r="I182" s="17"/>
      <c r="J182" s="17"/>
      <c r="K182" s="17"/>
      <c r="L182" s="17"/>
      <c r="M182" s="17"/>
      <c r="N182" s="17"/>
      <c r="O182" s="360"/>
      <c r="P182" s="148"/>
      <c r="Q182" s="17"/>
      <c r="R182" s="17"/>
      <c r="S182" s="17"/>
      <c r="T182" s="17"/>
      <c r="U182" s="17"/>
      <c r="V182" s="17"/>
      <c r="W182" s="17"/>
      <c r="X182" s="361"/>
      <c r="Y182" s="360"/>
      <c r="Z182" s="17"/>
      <c r="AA182" s="17"/>
      <c r="AB182" s="17"/>
      <c r="AC182" s="23"/>
      <c r="AD182" s="284"/>
      <c r="AE182" s="284">
        <v>95251298</v>
      </c>
      <c r="AF182" s="363">
        <v>45383922</v>
      </c>
      <c r="AG182" s="408"/>
      <c r="AH182" s="408"/>
      <c r="AI182" s="407">
        <v>92325544</v>
      </c>
      <c r="AJ182" s="408"/>
      <c r="AK182" s="408"/>
      <c r="AL182" s="408"/>
      <c r="AM182" s="284">
        <v>32270363.989999998</v>
      </c>
      <c r="AN182" s="310"/>
    </row>
    <row r="183" spans="1:41" s="400" customFormat="1" ht="30.75" customHeight="1" x14ac:dyDescent="0.25">
      <c r="A183" s="17"/>
      <c r="B183" s="15"/>
      <c r="C183" s="67"/>
      <c r="D183" s="69"/>
      <c r="E183" s="16"/>
      <c r="F183" s="16"/>
      <c r="G183" s="16"/>
      <c r="H183" s="395"/>
      <c r="I183" s="17"/>
      <c r="J183" s="17"/>
      <c r="K183" s="17"/>
      <c r="L183" s="17"/>
      <c r="M183" s="17"/>
      <c r="N183" s="17"/>
      <c r="O183" s="360"/>
      <c r="P183" s="148"/>
      <c r="Q183" s="17"/>
      <c r="R183" s="17"/>
      <c r="S183" s="17"/>
      <c r="T183" s="17"/>
      <c r="U183" s="17"/>
      <c r="V183" s="17"/>
      <c r="W183" s="17"/>
      <c r="X183" s="361"/>
      <c r="Y183" s="360"/>
      <c r="Z183" s="17"/>
      <c r="AA183" s="17"/>
      <c r="AB183" s="17"/>
      <c r="AC183" s="23"/>
      <c r="AD183" s="399"/>
      <c r="AE183" s="363">
        <f>+AE182-AE181</f>
        <v>0</v>
      </c>
      <c r="AF183" s="363">
        <f>+AF182-AF181</f>
        <v>0</v>
      </c>
      <c r="AG183" s="401"/>
      <c r="AH183" s="401"/>
      <c r="AI183" s="404">
        <f>+AI182-AI181</f>
        <v>0</v>
      </c>
      <c r="AJ183" s="365"/>
      <c r="AK183" s="401"/>
      <c r="AL183" s="402"/>
      <c r="AM183" s="363">
        <f>+AM182-AM181</f>
        <v>0</v>
      </c>
    </row>
    <row r="184" spans="1:41" ht="66.75" customHeight="1" x14ac:dyDescent="0.2">
      <c r="C184" s="67"/>
      <c r="D184" s="69"/>
      <c r="AD184" s="362"/>
      <c r="AE184" s="364"/>
      <c r="AM184" s="379"/>
    </row>
    <row r="185" spans="1:41" s="400" customFormat="1" ht="30.75" customHeight="1" x14ac:dyDescent="0.25">
      <c r="A185" s="17"/>
      <c r="B185" s="15"/>
      <c r="C185" s="16"/>
      <c r="D185" s="367"/>
      <c r="E185" s="16"/>
      <c r="F185" s="16"/>
      <c r="G185" s="16"/>
      <c r="H185" s="69"/>
      <c r="I185" s="17"/>
      <c r="J185" s="17"/>
      <c r="K185" s="17"/>
      <c r="L185" s="17"/>
      <c r="M185" s="17"/>
      <c r="N185" s="17"/>
      <c r="O185" s="360"/>
      <c r="P185" s="148"/>
      <c r="Q185" s="17"/>
      <c r="R185" s="17"/>
      <c r="S185" s="17"/>
      <c r="T185" s="17"/>
      <c r="U185" s="17"/>
      <c r="V185" s="17"/>
      <c r="W185" s="17"/>
      <c r="X185" s="360"/>
      <c r="Y185" s="360"/>
      <c r="Z185" s="17"/>
      <c r="AA185" s="17"/>
      <c r="AB185" s="17"/>
      <c r="AC185" s="23"/>
      <c r="AD185" s="401"/>
      <c r="AE185" s="284"/>
      <c r="AF185" s="284"/>
      <c r="AG185" s="284"/>
      <c r="AH185" s="284"/>
      <c r="AI185" s="284"/>
      <c r="AJ185" s="284"/>
      <c r="AK185" s="284"/>
      <c r="AL185" s="284"/>
      <c r="AM185" s="284"/>
      <c r="AN185" s="284"/>
    </row>
    <row r="186" spans="1:41" s="400" customFormat="1" ht="30.75" customHeight="1" x14ac:dyDescent="0.25">
      <c r="A186" s="17"/>
      <c r="B186" s="15"/>
      <c r="C186" s="16"/>
      <c r="D186" s="367"/>
      <c r="E186" s="16"/>
      <c r="F186" s="16"/>
      <c r="G186" s="16"/>
      <c r="H186" s="69"/>
      <c r="I186" s="17"/>
      <c r="J186" s="17"/>
      <c r="K186" s="17"/>
      <c r="L186" s="17"/>
      <c r="M186" s="17"/>
      <c r="N186" s="17"/>
      <c r="O186" s="360"/>
      <c r="P186" s="148"/>
      <c r="Q186" s="17"/>
      <c r="R186" s="17"/>
      <c r="S186" s="17"/>
      <c r="T186" s="17"/>
      <c r="U186" s="17"/>
      <c r="V186" s="17"/>
      <c r="W186" s="17"/>
      <c r="X186" s="360"/>
      <c r="Y186" s="360"/>
      <c r="Z186" s="17"/>
      <c r="AA186" s="17"/>
      <c r="AB186" s="17"/>
      <c r="AC186" s="23"/>
      <c r="AD186" s="401"/>
      <c r="AE186" s="404"/>
      <c r="AF186" s="404"/>
      <c r="AG186" s="404"/>
      <c r="AH186" s="404"/>
      <c r="AI186" s="284"/>
      <c r="AJ186" s="404"/>
      <c r="AK186" s="404"/>
      <c r="AL186" s="405"/>
      <c r="AM186" s="284"/>
    </row>
    <row r="187" spans="1:41" s="400" customFormat="1" x14ac:dyDescent="0.25">
      <c r="A187" s="17"/>
      <c r="B187" s="15"/>
      <c r="C187" s="16"/>
      <c r="D187" s="367"/>
      <c r="E187" s="16"/>
      <c r="F187" s="16"/>
      <c r="G187" s="16"/>
      <c r="H187" s="69"/>
      <c r="I187" s="17"/>
      <c r="J187" s="17"/>
      <c r="K187" s="17"/>
      <c r="L187" s="17"/>
      <c r="M187" s="17"/>
      <c r="N187" s="17"/>
      <c r="O187" s="360"/>
      <c r="P187" s="148"/>
      <c r="Q187" s="17"/>
      <c r="R187" s="17"/>
      <c r="S187" s="17"/>
      <c r="T187" s="17"/>
      <c r="U187" s="17"/>
      <c r="V187" s="17"/>
      <c r="W187" s="17"/>
      <c r="X187" s="360"/>
      <c r="Y187" s="360"/>
      <c r="Z187" s="17"/>
      <c r="AA187" s="17"/>
      <c r="AB187" s="17"/>
      <c r="AC187" s="23"/>
      <c r="AD187" s="401"/>
      <c r="AE187" s="404"/>
      <c r="AF187" s="404"/>
      <c r="AG187" s="404"/>
      <c r="AH187" s="404"/>
      <c r="AI187" s="404"/>
      <c r="AJ187" s="404"/>
      <c r="AK187" s="404"/>
      <c r="AL187" s="404"/>
      <c r="AM187" s="404"/>
      <c r="AN187" s="403"/>
      <c r="AO187" s="403"/>
    </row>
  </sheetData>
  <autoFilter ref="A5:AN183" xr:uid="{00000000-0009-0000-0000-000000000000}"/>
  <mergeCells count="1">
    <mergeCell ref="A4:AN4"/>
  </mergeCells>
  <conditionalFormatting sqref="D83:E83 D84:D85 G83">
    <cfRule type="duplicateValues" dxfId="7" priority="10"/>
  </conditionalFormatting>
  <conditionalFormatting sqref="C171">
    <cfRule type="duplicateValues" dxfId="6" priority="9"/>
  </conditionalFormatting>
  <conditionalFormatting sqref="B182 A175 C177:C178">
    <cfRule type="duplicateValues" dxfId="5" priority="7"/>
  </conditionalFormatting>
  <conditionalFormatting sqref="E84:E85 G84:G85">
    <cfRule type="duplicateValues" dxfId="4" priority="5"/>
  </conditionalFormatting>
  <conditionalFormatting sqref="F83">
    <cfRule type="duplicateValues" dxfId="3" priority="3"/>
  </conditionalFormatting>
  <conditionalFormatting sqref="F84:F85">
    <cfRule type="duplicateValues" dxfId="2" priority="2"/>
  </conditionalFormatting>
  <conditionalFormatting sqref="C179">
    <cfRule type="duplicateValues" dxfId="1" priority="1"/>
  </conditionalFormatting>
  <conditionalFormatting sqref="C182:C184">
    <cfRule type="duplicateValues" dxfId="0" priority="13"/>
  </conditionalFormatting>
  <dataValidations count="2">
    <dataValidation type="list" allowBlank="1" showInputMessage="1" showErrorMessage="1" sqref="X115 N116 N171:N173 N165:N168 X117:X148 N72 X150:X170 X59 X93:X94 N25:N33 N143:N149 N86:N114 N41:N66" xr:uid="{00000000-0002-0000-0000-000000000000}">
      <formula1>M</formula1>
    </dataValidation>
    <dataValidation type="list" allowBlank="1" showInputMessage="1" showErrorMessage="1" sqref="Y115:AB115 X149 X116 X171:X173 N87:N89 W72:X72 W113:AB113 W95:W114 Y167:Y170 Z150:AB170 Y150:Y164 Z144:AB148 Y117:AB143 X60:X71 U94 X73:X95 Y93:AB94 Y6:AB85 X5:X58" xr:uid="{00000000-0002-0000-0000-000001000000}">
      <formula1>gasto</formula1>
    </dataValidation>
  </dataValidations>
  <hyperlinks>
    <hyperlink ref="W116" r:id="rId1" xr:uid="{00000000-0004-0000-0000-000000000000}"/>
    <hyperlink ref="W149" r:id="rId2" xr:uid="{00000000-0004-0000-0000-000001000000}"/>
    <hyperlink ref="W90" r:id="rId3" xr:uid="{00000000-0004-0000-0000-000002000000}"/>
    <hyperlink ref="W91" r:id="rId4" xr:uid="{00000000-0004-0000-0000-000003000000}"/>
    <hyperlink ref="W171:W173" r:id="rId5" display="secretariageneral@inci.gov.co" xr:uid="{00000000-0004-0000-0000-000004000000}"/>
    <hyperlink ref="W93" r:id="rId6" xr:uid="{00000000-0004-0000-0000-000005000000}"/>
    <hyperlink ref="W144" r:id="rId7" xr:uid="{00000000-0004-0000-0000-000006000000}"/>
    <hyperlink ref="W165" r:id="rId8" xr:uid="{00000000-0004-0000-0000-000007000000}"/>
    <hyperlink ref="W166" r:id="rId9" xr:uid="{00000000-0004-0000-0000-000008000000}"/>
    <hyperlink ref="W167" r:id="rId10" xr:uid="{00000000-0004-0000-0000-000009000000}"/>
    <hyperlink ref="W168" r:id="rId11" xr:uid="{00000000-0004-0000-0000-00000A000000}"/>
    <hyperlink ref="W87" r:id="rId12" xr:uid="{00000000-0004-0000-0000-00000B000000}"/>
    <hyperlink ref="W88:W89" r:id="rId13" display="desarrollohumano@inci.gov.co" xr:uid="{00000000-0004-0000-0000-00000C000000}"/>
    <hyperlink ref="W147" r:id="rId14" xr:uid="{00000000-0004-0000-0000-00000D000000}"/>
    <hyperlink ref="W148" r:id="rId15" xr:uid="{00000000-0004-0000-0000-00000E000000}"/>
    <hyperlink ref="W35" r:id="rId16" xr:uid="{00000000-0004-0000-0000-00000F000000}"/>
    <hyperlink ref="W36:W38" r:id="rId17" display="subdireccion@inci.gov.co" xr:uid="{00000000-0004-0000-0000-000010000000}"/>
    <hyperlink ref="W174" r:id="rId18" xr:uid="{00000000-0004-0000-0000-000011000000}"/>
    <hyperlink ref="W176" r:id="rId19" xr:uid="{00000000-0004-0000-0000-000012000000}"/>
    <hyperlink ref="W177" r:id="rId20" xr:uid="{00000000-0004-0000-0000-000013000000}"/>
    <hyperlink ref="W178" r:id="rId21" xr:uid="{00000000-0004-0000-0000-000014000000}"/>
    <hyperlink ref="W175" r:id="rId22" xr:uid="{00000000-0004-0000-0000-000015000000}"/>
    <hyperlink ref="W86" r:id="rId23" xr:uid="{00000000-0004-0000-0000-000016000000}"/>
    <hyperlink ref="W6" r:id="rId24" xr:uid="{00000000-0004-0000-0000-000017000000}"/>
    <hyperlink ref="W7" r:id="rId25" xr:uid="{00000000-0004-0000-0000-000018000000}"/>
    <hyperlink ref="W8" r:id="rId26" xr:uid="{00000000-0004-0000-0000-000019000000}"/>
    <hyperlink ref="W13" r:id="rId27" xr:uid="{00000000-0004-0000-0000-00001A000000}"/>
    <hyperlink ref="W14" r:id="rId28" xr:uid="{00000000-0004-0000-0000-00001B000000}"/>
    <hyperlink ref="W19" r:id="rId29" xr:uid="{00000000-0004-0000-0000-00001C000000}"/>
    <hyperlink ref="W21" r:id="rId30" xr:uid="{00000000-0004-0000-0000-00001D000000}"/>
    <hyperlink ref="W10" r:id="rId31" xr:uid="{00000000-0004-0000-0000-00001E000000}"/>
    <hyperlink ref="W12" r:id="rId32" xr:uid="{00000000-0004-0000-0000-00001F000000}"/>
    <hyperlink ref="W15" r:id="rId33" xr:uid="{00000000-0004-0000-0000-000020000000}"/>
    <hyperlink ref="W17" r:id="rId34" xr:uid="{00000000-0004-0000-0000-000021000000}"/>
    <hyperlink ref="W18" r:id="rId35" xr:uid="{00000000-0004-0000-0000-000022000000}"/>
    <hyperlink ref="W22" r:id="rId36" xr:uid="{00000000-0004-0000-0000-000023000000}"/>
    <hyperlink ref="W23" r:id="rId37" xr:uid="{00000000-0004-0000-0000-000024000000}"/>
    <hyperlink ref="W24" r:id="rId38" xr:uid="{00000000-0004-0000-0000-000025000000}"/>
    <hyperlink ref="W25" r:id="rId39" xr:uid="{00000000-0004-0000-0000-000026000000}"/>
    <hyperlink ref="W26" r:id="rId40" xr:uid="{00000000-0004-0000-0000-000027000000}"/>
    <hyperlink ref="W27" r:id="rId41" xr:uid="{00000000-0004-0000-0000-000028000000}"/>
    <hyperlink ref="W28:W33" r:id="rId42" display="direccioninci@inci.gov.co" xr:uid="{00000000-0004-0000-0000-000029000000}"/>
    <hyperlink ref="W67:W73" r:id="rId43" display="subdireccion@inci.gov.co" xr:uid="{00000000-0004-0000-0000-00002A000000}"/>
    <hyperlink ref="W76" r:id="rId44" xr:uid="{00000000-0004-0000-0000-00002B000000}"/>
    <hyperlink ref="W77" r:id="rId45" xr:uid="{00000000-0004-0000-0000-00002C000000}"/>
    <hyperlink ref="W79" r:id="rId46" xr:uid="{00000000-0004-0000-0000-00002D000000}"/>
    <hyperlink ref="W80" r:id="rId47" xr:uid="{00000000-0004-0000-0000-00002E000000}"/>
    <hyperlink ref="W81" r:id="rId48" xr:uid="{00000000-0004-0000-0000-00002F000000}"/>
    <hyperlink ref="W82" r:id="rId49" xr:uid="{00000000-0004-0000-0000-000030000000}"/>
    <hyperlink ref="W83" r:id="rId50" xr:uid="{00000000-0004-0000-0000-000031000000}"/>
    <hyperlink ref="W39" r:id="rId51" xr:uid="{00000000-0004-0000-0000-000032000000}"/>
    <hyperlink ref="W74" r:id="rId52" xr:uid="{00000000-0004-0000-0000-000033000000}"/>
    <hyperlink ref="W146" r:id="rId53" xr:uid="{00000000-0004-0000-0000-000034000000}"/>
    <hyperlink ref="W75" r:id="rId54" xr:uid="{00000000-0004-0000-0000-000035000000}"/>
    <hyperlink ref="W9" r:id="rId55" xr:uid="{00000000-0004-0000-0000-000036000000}"/>
    <hyperlink ref="W63" r:id="rId56" xr:uid="{00000000-0004-0000-0000-000037000000}"/>
    <hyperlink ref="W84" r:id="rId57" xr:uid="{00000000-0004-0000-0000-000038000000}"/>
    <hyperlink ref="W85" r:id="rId58" xr:uid="{00000000-0004-0000-0000-000039000000}"/>
    <hyperlink ref="W92" r:id="rId59" xr:uid="{00000000-0004-0000-0000-00003A000000}"/>
    <hyperlink ref="W30" r:id="rId60" xr:uid="{00000000-0004-0000-0000-00003B000000}"/>
    <hyperlink ref="W78" r:id="rId61" xr:uid="{00000000-0004-0000-0000-00003C000000}"/>
    <hyperlink ref="W72" r:id="rId62" xr:uid="{00000000-0004-0000-0000-00003D000000}"/>
    <hyperlink ref="W62" r:id="rId63" xr:uid="{00000000-0004-0000-0000-00003E000000}"/>
    <hyperlink ref="W145" r:id="rId64" xr:uid="{00000000-0004-0000-0000-00003F000000}"/>
    <hyperlink ref="W69" r:id="rId65" xr:uid="{00000000-0004-0000-0000-000040000000}"/>
    <hyperlink ref="W179" r:id="rId66" xr:uid="{00000000-0004-0000-0000-000041000000}"/>
    <hyperlink ref="W71" r:id="rId67" xr:uid="{00000000-0004-0000-0000-000042000000}"/>
    <hyperlink ref="W11" r:id="rId68" xr:uid="{00000000-0004-0000-0000-000043000000}"/>
    <hyperlink ref="W16" r:id="rId69" xr:uid="{00000000-0004-0000-0000-000044000000}"/>
    <hyperlink ref="W40" r:id="rId70" xr:uid="{00000000-0004-0000-0000-000045000000}"/>
    <hyperlink ref="W20" r:id="rId71" xr:uid="{00000000-0004-0000-0000-000046000000}"/>
    <hyperlink ref="W31" r:id="rId72" xr:uid="{00000000-0004-0000-0000-000047000000}"/>
    <hyperlink ref="W94" r:id="rId73" xr:uid="{00000000-0004-0000-0000-000048000000}"/>
  </hyperlinks>
  <pageMargins left="0.7" right="0.7" top="0.75" bottom="0.75" header="0.3" footer="0.3"/>
  <pageSetup orientation="portrait" r:id="rId74"/>
  <drawing r:id="rId75"/>
  <legacyDrawing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104"/>
  <sheetViews>
    <sheetView zoomScale="70" zoomScaleNormal="70" workbookViewId="0">
      <pane ySplit="1" topLeftCell="A23" activePane="bottomLeft" state="frozen"/>
      <selection pane="bottomLeft" activeCell="P29" sqref="P29"/>
    </sheetView>
  </sheetViews>
  <sheetFormatPr baseColWidth="10" defaultRowHeight="15" x14ac:dyDescent="0.25"/>
  <cols>
    <col min="1" max="1" width="29.5703125" style="46" customWidth="1"/>
    <col min="2" max="2" width="24.85546875" style="46" customWidth="1"/>
    <col min="3" max="11" width="20.85546875" style="46" customWidth="1"/>
    <col min="12" max="12" width="20.85546875" customWidth="1"/>
  </cols>
  <sheetData>
    <row r="1" spans="1:12" ht="47.25" x14ac:dyDescent="0.25">
      <c r="A1" s="127" t="s">
        <v>132</v>
      </c>
      <c r="B1" s="47" t="s">
        <v>283</v>
      </c>
      <c r="C1" s="47" t="s">
        <v>284</v>
      </c>
      <c r="D1" s="47" t="s">
        <v>285</v>
      </c>
      <c r="E1" s="48" t="s">
        <v>290</v>
      </c>
      <c r="F1" s="47" t="s">
        <v>286</v>
      </c>
      <c r="G1" s="47" t="s">
        <v>287</v>
      </c>
      <c r="H1" s="48" t="s">
        <v>288</v>
      </c>
      <c r="I1" s="48" t="s">
        <v>289</v>
      </c>
      <c r="J1" s="48" t="s">
        <v>291</v>
      </c>
      <c r="K1" s="48" t="s">
        <v>292</v>
      </c>
      <c r="L1" s="48" t="s">
        <v>293</v>
      </c>
    </row>
    <row r="2" spans="1:12" s="49" customFormat="1" ht="90" x14ac:dyDescent="0.25">
      <c r="A2" s="128" t="s">
        <v>244</v>
      </c>
      <c r="B2" s="40" t="s">
        <v>434</v>
      </c>
      <c r="C2" s="40" t="s">
        <v>434</v>
      </c>
      <c r="D2" s="40" t="s">
        <v>579</v>
      </c>
      <c r="E2" s="79">
        <v>259000</v>
      </c>
      <c r="F2" s="80">
        <v>4.5</v>
      </c>
      <c r="G2" s="81">
        <f>E2*F2</f>
        <v>1165500</v>
      </c>
      <c r="H2" s="79">
        <v>750000</v>
      </c>
      <c r="I2" s="82">
        <v>200000</v>
      </c>
      <c r="J2" s="83">
        <v>120000</v>
      </c>
      <c r="K2" s="83">
        <v>50000</v>
      </c>
      <c r="L2" s="84">
        <f>I2+J2+K2</f>
        <v>370000</v>
      </c>
    </row>
    <row r="3" spans="1:12" ht="90" x14ac:dyDescent="0.25">
      <c r="A3" s="128" t="s">
        <v>244</v>
      </c>
      <c r="B3" s="40" t="s">
        <v>434</v>
      </c>
      <c r="C3" s="40" t="s">
        <v>434</v>
      </c>
      <c r="D3" s="40" t="s">
        <v>579</v>
      </c>
      <c r="E3" s="79">
        <v>259000</v>
      </c>
      <c r="F3" s="80">
        <v>4.5</v>
      </c>
      <c r="G3" s="81">
        <f t="shared" ref="G3:G17" si="0">E3*F3</f>
        <v>1165500</v>
      </c>
      <c r="H3" s="79">
        <v>750000</v>
      </c>
      <c r="I3" s="82">
        <v>200000</v>
      </c>
      <c r="J3" s="83">
        <v>120000</v>
      </c>
      <c r="K3" s="83">
        <v>50000</v>
      </c>
      <c r="L3" s="84">
        <f t="shared" ref="L3:L19" si="1">I3+J3+K3</f>
        <v>370000</v>
      </c>
    </row>
    <row r="4" spans="1:12" ht="90" x14ac:dyDescent="0.25">
      <c r="A4" s="128" t="s">
        <v>244</v>
      </c>
      <c r="B4" s="40" t="s">
        <v>434</v>
      </c>
      <c r="C4" s="40" t="s">
        <v>434</v>
      </c>
      <c r="D4" s="40" t="s">
        <v>579</v>
      </c>
      <c r="E4" s="79">
        <v>259000</v>
      </c>
      <c r="F4" s="80">
        <v>4.5</v>
      </c>
      <c r="G4" s="81">
        <f t="shared" si="0"/>
        <v>1165500</v>
      </c>
      <c r="H4" s="79">
        <v>750000</v>
      </c>
      <c r="I4" s="82">
        <v>200000</v>
      </c>
      <c r="J4" s="83">
        <v>120000</v>
      </c>
      <c r="K4" s="83">
        <v>50000</v>
      </c>
      <c r="L4" s="84">
        <f t="shared" si="1"/>
        <v>370000</v>
      </c>
    </row>
    <row r="5" spans="1:12" ht="90" x14ac:dyDescent="0.25">
      <c r="A5" s="128" t="s">
        <v>244</v>
      </c>
      <c r="B5" s="40" t="s">
        <v>434</v>
      </c>
      <c r="C5" s="40" t="s">
        <v>434</v>
      </c>
      <c r="D5" s="40" t="s">
        <v>579</v>
      </c>
      <c r="E5" s="79">
        <v>259000</v>
      </c>
      <c r="F5" s="80">
        <v>4.5</v>
      </c>
      <c r="G5" s="81">
        <f t="shared" si="0"/>
        <v>1165500</v>
      </c>
      <c r="H5" s="79">
        <v>750000</v>
      </c>
      <c r="I5" s="82">
        <v>200000</v>
      </c>
      <c r="J5" s="83">
        <v>120000</v>
      </c>
      <c r="K5" s="83">
        <v>50000</v>
      </c>
      <c r="L5" s="84">
        <f t="shared" si="1"/>
        <v>370000</v>
      </c>
    </row>
    <row r="6" spans="1:12" ht="90" x14ac:dyDescent="0.25">
      <c r="A6" s="128" t="s">
        <v>244</v>
      </c>
      <c r="B6" s="40" t="s">
        <v>434</v>
      </c>
      <c r="C6" s="40" t="s">
        <v>434</v>
      </c>
      <c r="D6" s="40" t="s">
        <v>579</v>
      </c>
      <c r="E6" s="79">
        <v>259000</v>
      </c>
      <c r="F6" s="80">
        <v>4.5</v>
      </c>
      <c r="G6" s="81">
        <f t="shared" si="0"/>
        <v>1165500</v>
      </c>
      <c r="H6" s="79">
        <v>750000</v>
      </c>
      <c r="I6" s="82">
        <v>200000</v>
      </c>
      <c r="J6" s="83">
        <v>120000</v>
      </c>
      <c r="K6" s="83">
        <v>50000</v>
      </c>
      <c r="L6" s="84">
        <f t="shared" si="1"/>
        <v>370000</v>
      </c>
    </row>
    <row r="7" spans="1:12" ht="90" x14ac:dyDescent="0.25">
      <c r="A7" s="128" t="s">
        <v>244</v>
      </c>
      <c r="B7" s="40" t="s">
        <v>434</v>
      </c>
      <c r="C7" s="40" t="s">
        <v>434</v>
      </c>
      <c r="D7" s="40" t="s">
        <v>579</v>
      </c>
      <c r="E7" s="79">
        <v>259000</v>
      </c>
      <c r="F7" s="80">
        <v>4.5</v>
      </c>
      <c r="G7" s="81">
        <f t="shared" si="0"/>
        <v>1165500</v>
      </c>
      <c r="H7" s="79">
        <v>750000</v>
      </c>
      <c r="I7" s="82">
        <v>200000</v>
      </c>
      <c r="J7" s="83">
        <v>120000</v>
      </c>
      <c r="K7" s="83">
        <v>50000</v>
      </c>
      <c r="L7" s="84">
        <f t="shared" si="1"/>
        <v>370000</v>
      </c>
    </row>
    <row r="8" spans="1:12" ht="90" x14ac:dyDescent="0.25">
      <c r="A8" s="128" t="s">
        <v>244</v>
      </c>
      <c r="B8" s="40" t="s">
        <v>434</v>
      </c>
      <c r="C8" s="40" t="s">
        <v>434</v>
      </c>
      <c r="D8" s="40" t="s">
        <v>579</v>
      </c>
      <c r="E8" s="79">
        <v>328750</v>
      </c>
      <c r="F8" s="80">
        <v>4.5</v>
      </c>
      <c r="G8" s="81">
        <f t="shared" si="0"/>
        <v>1479375</v>
      </c>
      <c r="H8" s="79">
        <v>750000</v>
      </c>
      <c r="I8" s="82">
        <v>200000</v>
      </c>
      <c r="J8" s="83">
        <v>120000</v>
      </c>
      <c r="K8" s="83">
        <v>50000</v>
      </c>
      <c r="L8" s="84">
        <f t="shared" si="1"/>
        <v>370000</v>
      </c>
    </row>
    <row r="9" spans="1:12" ht="90" x14ac:dyDescent="0.25">
      <c r="A9" s="128" t="s">
        <v>244</v>
      </c>
      <c r="B9" s="40" t="s">
        <v>434</v>
      </c>
      <c r="C9" s="40" t="s">
        <v>434</v>
      </c>
      <c r="D9" s="40" t="s">
        <v>579</v>
      </c>
      <c r="E9" s="79">
        <v>328750</v>
      </c>
      <c r="F9" s="80">
        <v>4.5</v>
      </c>
      <c r="G9" s="81">
        <f t="shared" si="0"/>
        <v>1479375</v>
      </c>
      <c r="H9" s="79">
        <v>750000</v>
      </c>
      <c r="I9" s="82">
        <v>200000</v>
      </c>
      <c r="J9" s="83">
        <v>120000</v>
      </c>
      <c r="K9" s="83">
        <v>50000</v>
      </c>
      <c r="L9" s="84">
        <f t="shared" si="1"/>
        <v>370000</v>
      </c>
    </row>
    <row r="10" spans="1:12" ht="90" x14ac:dyDescent="0.25">
      <c r="A10" s="128" t="s">
        <v>244</v>
      </c>
      <c r="B10" s="40" t="s">
        <v>434</v>
      </c>
      <c r="C10" s="40" t="s">
        <v>434</v>
      </c>
      <c r="D10" s="40" t="s">
        <v>579</v>
      </c>
      <c r="E10" s="79">
        <v>259000</v>
      </c>
      <c r="F10" s="80">
        <v>4.5</v>
      </c>
      <c r="G10" s="81">
        <f t="shared" si="0"/>
        <v>1165500</v>
      </c>
      <c r="H10" s="79">
        <v>750000</v>
      </c>
      <c r="I10" s="82">
        <v>200000</v>
      </c>
      <c r="J10" s="83">
        <v>120000</v>
      </c>
      <c r="K10" s="83">
        <v>50000</v>
      </c>
      <c r="L10" s="84">
        <f t="shared" si="1"/>
        <v>370000</v>
      </c>
    </row>
    <row r="11" spans="1:12" ht="90" x14ac:dyDescent="0.25">
      <c r="A11" s="128" t="s">
        <v>244</v>
      </c>
      <c r="B11" s="40" t="s">
        <v>434</v>
      </c>
      <c r="C11" s="40" t="s">
        <v>434</v>
      </c>
      <c r="D11" s="40" t="s">
        <v>579</v>
      </c>
      <c r="E11" s="79">
        <v>259000</v>
      </c>
      <c r="F11" s="80">
        <v>4.5</v>
      </c>
      <c r="G11" s="81">
        <f t="shared" si="0"/>
        <v>1165500</v>
      </c>
      <c r="H11" s="79">
        <v>750000</v>
      </c>
      <c r="I11" s="82">
        <v>200000</v>
      </c>
      <c r="J11" s="83">
        <v>120000</v>
      </c>
      <c r="K11" s="83">
        <v>50000</v>
      </c>
      <c r="L11" s="84">
        <f t="shared" si="1"/>
        <v>370000</v>
      </c>
    </row>
    <row r="12" spans="1:12" ht="90" x14ac:dyDescent="0.25">
      <c r="A12" s="128" t="s">
        <v>244</v>
      </c>
      <c r="B12" s="40" t="s">
        <v>434</v>
      </c>
      <c r="C12" s="40" t="s">
        <v>434</v>
      </c>
      <c r="D12" s="40" t="s">
        <v>579</v>
      </c>
      <c r="E12" s="79">
        <v>259000</v>
      </c>
      <c r="F12" s="80">
        <v>4.5</v>
      </c>
      <c r="G12" s="81">
        <f t="shared" si="0"/>
        <v>1165500</v>
      </c>
      <c r="H12" s="79">
        <v>750000</v>
      </c>
      <c r="I12" s="82">
        <v>200000</v>
      </c>
      <c r="J12" s="83">
        <v>120000</v>
      </c>
      <c r="K12" s="83">
        <v>50000</v>
      </c>
      <c r="L12" s="84">
        <f t="shared" si="1"/>
        <v>370000</v>
      </c>
    </row>
    <row r="13" spans="1:12" ht="90" x14ac:dyDescent="0.25">
      <c r="A13" s="128" t="s">
        <v>244</v>
      </c>
      <c r="B13" s="40" t="s">
        <v>434</v>
      </c>
      <c r="C13" s="40" t="s">
        <v>434</v>
      </c>
      <c r="D13" s="40" t="s">
        <v>579</v>
      </c>
      <c r="E13" s="79">
        <v>259000</v>
      </c>
      <c r="F13" s="80">
        <v>4.5</v>
      </c>
      <c r="G13" s="81">
        <f t="shared" si="0"/>
        <v>1165500</v>
      </c>
      <c r="H13" s="79">
        <v>750000</v>
      </c>
      <c r="I13" s="82">
        <v>200000</v>
      </c>
      <c r="J13" s="83">
        <v>120000</v>
      </c>
      <c r="K13" s="83">
        <v>50000</v>
      </c>
      <c r="L13" s="84">
        <f t="shared" si="1"/>
        <v>370000</v>
      </c>
    </row>
    <row r="14" spans="1:12" ht="90" x14ac:dyDescent="0.25">
      <c r="A14" s="128" t="s">
        <v>244</v>
      </c>
      <c r="B14" s="40" t="s">
        <v>434</v>
      </c>
      <c r="C14" s="40" t="s">
        <v>434</v>
      </c>
      <c r="D14" s="40" t="s">
        <v>579</v>
      </c>
      <c r="E14" s="79">
        <v>259000</v>
      </c>
      <c r="F14" s="80">
        <v>4.5</v>
      </c>
      <c r="G14" s="81">
        <f t="shared" si="0"/>
        <v>1165500</v>
      </c>
      <c r="H14" s="79">
        <v>750000</v>
      </c>
      <c r="I14" s="82">
        <v>200000</v>
      </c>
      <c r="J14" s="83">
        <v>120000</v>
      </c>
      <c r="K14" s="83">
        <v>50000</v>
      </c>
      <c r="L14" s="84">
        <f t="shared" si="1"/>
        <v>370000</v>
      </c>
    </row>
    <row r="15" spans="1:12" ht="90" x14ac:dyDescent="0.25">
      <c r="A15" s="128" t="s">
        <v>244</v>
      </c>
      <c r="B15" s="40" t="s">
        <v>434</v>
      </c>
      <c r="C15" s="40" t="s">
        <v>434</v>
      </c>
      <c r="D15" s="40" t="s">
        <v>579</v>
      </c>
      <c r="E15" s="79">
        <v>259000</v>
      </c>
      <c r="F15" s="80">
        <v>4.5</v>
      </c>
      <c r="G15" s="81">
        <f t="shared" si="0"/>
        <v>1165500</v>
      </c>
      <c r="H15" s="79">
        <v>750000</v>
      </c>
      <c r="I15" s="82">
        <v>200000</v>
      </c>
      <c r="J15" s="83">
        <v>120000</v>
      </c>
      <c r="K15" s="83">
        <v>50000</v>
      </c>
      <c r="L15" s="84">
        <f t="shared" si="1"/>
        <v>370000</v>
      </c>
    </row>
    <row r="16" spans="1:12" ht="90" x14ac:dyDescent="0.25">
      <c r="A16" s="128" t="s">
        <v>244</v>
      </c>
      <c r="B16" s="40" t="s">
        <v>434</v>
      </c>
      <c r="C16" s="40" t="s">
        <v>434</v>
      </c>
      <c r="D16" s="40" t="s">
        <v>579</v>
      </c>
      <c r="E16" s="79">
        <v>328750</v>
      </c>
      <c r="F16" s="80">
        <v>4.5</v>
      </c>
      <c r="G16" s="81">
        <f t="shared" si="0"/>
        <v>1479375</v>
      </c>
      <c r="H16" s="79">
        <v>750000</v>
      </c>
      <c r="I16" s="82">
        <v>200000</v>
      </c>
      <c r="J16" s="83">
        <v>120000</v>
      </c>
      <c r="K16" s="83">
        <v>50000</v>
      </c>
      <c r="L16" s="84">
        <f t="shared" si="1"/>
        <v>370000</v>
      </c>
    </row>
    <row r="17" spans="1:12" ht="90" x14ac:dyDescent="0.25">
      <c r="A17" s="128" t="s">
        <v>244</v>
      </c>
      <c r="B17" s="40" t="s">
        <v>434</v>
      </c>
      <c r="C17" s="40" t="s">
        <v>434</v>
      </c>
      <c r="D17" s="40" t="s">
        <v>579</v>
      </c>
      <c r="E17" s="79">
        <v>328750</v>
      </c>
      <c r="F17" s="80">
        <v>4.5</v>
      </c>
      <c r="G17" s="81">
        <f t="shared" si="0"/>
        <v>1479375</v>
      </c>
      <c r="H17" s="79">
        <v>750000</v>
      </c>
      <c r="I17" s="82">
        <v>200000</v>
      </c>
      <c r="J17" s="83">
        <v>120000</v>
      </c>
      <c r="K17" s="83">
        <v>50000</v>
      </c>
      <c r="L17" s="84">
        <f t="shared" si="1"/>
        <v>370000</v>
      </c>
    </row>
    <row r="18" spans="1:12" s="50" customFormat="1" ht="33" customHeight="1" x14ac:dyDescent="0.25">
      <c r="A18" s="136"/>
      <c r="B18" s="136"/>
      <c r="C18" s="136"/>
      <c r="D18" s="136"/>
      <c r="E18" s="136"/>
      <c r="F18" s="136"/>
      <c r="G18" s="137">
        <f>SUM(G2:G17)</f>
        <v>19903500</v>
      </c>
      <c r="H18" s="138">
        <f>SUM(H2:H17)</f>
        <v>12000000</v>
      </c>
      <c r="I18" s="138">
        <f t="shared" ref="I18:L18" si="2">SUM(I2:I17)</f>
        <v>3200000</v>
      </c>
      <c r="J18" s="138">
        <f t="shared" si="2"/>
        <v>1920000</v>
      </c>
      <c r="K18" s="138">
        <f t="shared" si="2"/>
        <v>800000</v>
      </c>
      <c r="L18" s="138">
        <f t="shared" si="2"/>
        <v>5920000</v>
      </c>
    </row>
    <row r="19" spans="1:12" ht="75" x14ac:dyDescent="0.25">
      <c r="A19" s="129" t="s">
        <v>261</v>
      </c>
      <c r="B19" s="19" t="s">
        <v>434</v>
      </c>
      <c r="C19" s="19" t="s">
        <v>434</v>
      </c>
      <c r="D19" s="19" t="s">
        <v>301</v>
      </c>
      <c r="E19" s="85">
        <v>259000</v>
      </c>
      <c r="F19" s="86">
        <v>3.5</v>
      </c>
      <c r="G19" s="89">
        <f>E19*F19</f>
        <v>906500</v>
      </c>
      <c r="H19" s="85">
        <v>750000</v>
      </c>
      <c r="I19" s="87">
        <v>200000</v>
      </c>
      <c r="J19" s="88">
        <v>120000</v>
      </c>
      <c r="K19" s="88">
        <v>50000</v>
      </c>
      <c r="L19" s="89">
        <f t="shared" si="1"/>
        <v>370000</v>
      </c>
    </row>
    <row r="20" spans="1:12" ht="75" x14ac:dyDescent="0.25">
      <c r="A20" s="129" t="s">
        <v>261</v>
      </c>
      <c r="B20" s="19" t="s">
        <v>434</v>
      </c>
      <c r="C20" s="19" t="s">
        <v>434</v>
      </c>
      <c r="D20" s="19" t="s">
        <v>301</v>
      </c>
      <c r="E20" s="85">
        <v>259000</v>
      </c>
      <c r="F20" s="86">
        <v>3.5</v>
      </c>
      <c r="G20" s="89">
        <f t="shared" ref="G20:G26" si="3">E20*F20</f>
        <v>906500</v>
      </c>
      <c r="H20" s="85">
        <v>750000</v>
      </c>
      <c r="I20" s="87">
        <v>200000</v>
      </c>
      <c r="J20" s="88">
        <v>120000</v>
      </c>
      <c r="K20" s="88">
        <v>50000</v>
      </c>
      <c r="L20" s="89">
        <f t="shared" ref="L20:L26" si="4">I20+J20+K20</f>
        <v>370000</v>
      </c>
    </row>
    <row r="21" spans="1:12" ht="75" x14ac:dyDescent="0.25">
      <c r="A21" s="129" t="s">
        <v>261</v>
      </c>
      <c r="B21" s="19" t="s">
        <v>434</v>
      </c>
      <c r="C21" s="19" t="s">
        <v>434</v>
      </c>
      <c r="D21" s="19" t="s">
        <v>434</v>
      </c>
      <c r="E21" s="85">
        <v>259000</v>
      </c>
      <c r="F21" s="86">
        <v>3.5</v>
      </c>
      <c r="G21" s="89">
        <f t="shared" si="3"/>
        <v>906500</v>
      </c>
      <c r="H21" s="85">
        <v>750000</v>
      </c>
      <c r="I21" s="87">
        <v>200000</v>
      </c>
      <c r="J21" s="88">
        <v>120000</v>
      </c>
      <c r="K21" s="88">
        <v>50000</v>
      </c>
      <c r="L21" s="89">
        <f t="shared" si="4"/>
        <v>370000</v>
      </c>
    </row>
    <row r="22" spans="1:12" ht="75" x14ac:dyDescent="0.25">
      <c r="A22" s="129" t="s">
        <v>261</v>
      </c>
      <c r="B22" s="19" t="s">
        <v>434</v>
      </c>
      <c r="C22" s="19" t="s">
        <v>434</v>
      </c>
      <c r="D22" s="19" t="s">
        <v>434</v>
      </c>
      <c r="E22" s="85">
        <v>259000</v>
      </c>
      <c r="F22" s="86">
        <v>3.5</v>
      </c>
      <c r="G22" s="89">
        <f t="shared" si="3"/>
        <v>906500</v>
      </c>
      <c r="H22" s="85">
        <v>750000</v>
      </c>
      <c r="I22" s="87">
        <v>200000</v>
      </c>
      <c r="J22" s="88">
        <v>120000</v>
      </c>
      <c r="K22" s="88">
        <v>50000</v>
      </c>
      <c r="L22" s="89">
        <f t="shared" si="4"/>
        <v>370000</v>
      </c>
    </row>
    <row r="23" spans="1:12" ht="75" x14ac:dyDescent="0.25">
      <c r="A23" s="129" t="s">
        <v>261</v>
      </c>
      <c r="B23" s="19" t="s">
        <v>434</v>
      </c>
      <c r="C23" s="19" t="s">
        <v>434</v>
      </c>
      <c r="D23" s="19" t="s">
        <v>301</v>
      </c>
      <c r="E23" s="85">
        <v>259000</v>
      </c>
      <c r="F23" s="86">
        <v>3.5</v>
      </c>
      <c r="G23" s="89">
        <f t="shared" si="3"/>
        <v>906500</v>
      </c>
      <c r="H23" s="85">
        <v>750000</v>
      </c>
      <c r="I23" s="87">
        <v>200000</v>
      </c>
      <c r="J23" s="88">
        <v>120000</v>
      </c>
      <c r="K23" s="88">
        <v>50000</v>
      </c>
      <c r="L23" s="89">
        <f t="shared" si="4"/>
        <v>370000</v>
      </c>
    </row>
    <row r="24" spans="1:12" ht="75" x14ac:dyDescent="0.25">
      <c r="A24" s="129" t="s">
        <v>261</v>
      </c>
      <c r="B24" s="19" t="s">
        <v>434</v>
      </c>
      <c r="C24" s="19" t="s">
        <v>434</v>
      </c>
      <c r="D24" s="19" t="s">
        <v>434</v>
      </c>
      <c r="E24" s="85">
        <v>259000</v>
      </c>
      <c r="F24" s="86">
        <v>3.5</v>
      </c>
      <c r="G24" s="89">
        <f t="shared" si="3"/>
        <v>906500</v>
      </c>
      <c r="H24" s="85">
        <v>750000</v>
      </c>
      <c r="I24" s="87">
        <v>200000</v>
      </c>
      <c r="J24" s="88">
        <v>120000</v>
      </c>
      <c r="K24" s="88">
        <v>50000</v>
      </c>
      <c r="L24" s="89">
        <f t="shared" si="4"/>
        <v>370000</v>
      </c>
    </row>
    <row r="25" spans="1:12" ht="75" x14ac:dyDescent="0.25">
      <c r="A25" s="129" t="s">
        <v>261</v>
      </c>
      <c r="B25" s="19" t="s">
        <v>434</v>
      </c>
      <c r="C25" s="19" t="s">
        <v>434</v>
      </c>
      <c r="D25" s="19" t="s">
        <v>301</v>
      </c>
      <c r="E25" s="85">
        <v>259000</v>
      </c>
      <c r="F25" s="86">
        <v>3.5</v>
      </c>
      <c r="G25" s="89">
        <f t="shared" si="3"/>
        <v>906500</v>
      </c>
      <c r="H25" s="85">
        <v>750000</v>
      </c>
      <c r="I25" s="87">
        <v>200000</v>
      </c>
      <c r="J25" s="88">
        <v>120000</v>
      </c>
      <c r="K25" s="88">
        <v>50000</v>
      </c>
      <c r="L25" s="89">
        <f t="shared" si="4"/>
        <v>370000</v>
      </c>
    </row>
    <row r="26" spans="1:12" ht="75" x14ac:dyDescent="0.25">
      <c r="A26" s="129" t="s">
        <v>261</v>
      </c>
      <c r="B26" s="19" t="s">
        <v>434</v>
      </c>
      <c r="C26" s="19" t="s">
        <v>434</v>
      </c>
      <c r="D26" s="19" t="s">
        <v>301</v>
      </c>
      <c r="E26" s="85">
        <v>259000</v>
      </c>
      <c r="F26" s="86">
        <v>3.5</v>
      </c>
      <c r="G26" s="89">
        <f t="shared" si="3"/>
        <v>906500</v>
      </c>
      <c r="H26" s="85">
        <v>750000</v>
      </c>
      <c r="I26" s="87">
        <v>200000</v>
      </c>
      <c r="J26" s="88">
        <v>120000</v>
      </c>
      <c r="K26" s="88">
        <v>50000</v>
      </c>
      <c r="L26" s="89">
        <f t="shared" si="4"/>
        <v>370000</v>
      </c>
    </row>
    <row r="27" spans="1:12" x14ac:dyDescent="0.25">
      <c r="A27" s="56"/>
      <c r="B27" s="56"/>
      <c r="C27" s="56"/>
      <c r="D27" s="56"/>
      <c r="E27" s="56"/>
      <c r="F27" s="56"/>
      <c r="G27" s="57">
        <f>SUM(G19:G26)</f>
        <v>7252000</v>
      </c>
      <c r="H27" s="57">
        <f t="shared" ref="H27:L27" si="5">SUM(H19:H26)</f>
        <v>6000000</v>
      </c>
      <c r="I27" s="57">
        <f t="shared" si="5"/>
        <v>1600000</v>
      </c>
      <c r="J27" s="57">
        <f t="shared" si="5"/>
        <v>960000</v>
      </c>
      <c r="K27" s="57">
        <f t="shared" si="5"/>
        <v>400000</v>
      </c>
      <c r="L27" s="57">
        <f t="shared" si="5"/>
        <v>2960000</v>
      </c>
    </row>
    <row r="29" spans="1:12" ht="78.75" x14ac:dyDescent="0.25">
      <c r="A29" s="130" t="s">
        <v>263</v>
      </c>
      <c r="B29" s="130" t="s">
        <v>345</v>
      </c>
      <c r="C29" s="130" t="s">
        <v>346</v>
      </c>
      <c r="D29" s="130" t="s">
        <v>347</v>
      </c>
      <c r="E29" s="131">
        <v>259000</v>
      </c>
      <c r="F29" s="130">
        <v>1.5</v>
      </c>
      <c r="G29" s="131">
        <f>E29*F29</f>
        <v>388500</v>
      </c>
      <c r="H29" s="131">
        <v>750000</v>
      </c>
      <c r="I29" s="131">
        <v>0</v>
      </c>
      <c r="J29" s="131">
        <v>60000</v>
      </c>
      <c r="K29" s="131">
        <v>50000</v>
      </c>
      <c r="L29" s="132">
        <f>I29+J29+K29</f>
        <v>110000</v>
      </c>
    </row>
    <row r="30" spans="1:12" ht="78.75" x14ac:dyDescent="0.25">
      <c r="A30" s="130" t="s">
        <v>263</v>
      </c>
      <c r="B30" s="130" t="s">
        <v>348</v>
      </c>
      <c r="C30" s="130" t="s">
        <v>349</v>
      </c>
      <c r="D30" s="130" t="s">
        <v>347</v>
      </c>
      <c r="E30" s="131">
        <v>259000</v>
      </c>
      <c r="F30" s="130">
        <v>1</v>
      </c>
      <c r="G30" s="131">
        <f t="shared" ref="G30:G97" si="6">E30*F30</f>
        <v>259000</v>
      </c>
      <c r="H30" s="131">
        <v>0</v>
      </c>
      <c r="I30" s="131">
        <v>0</v>
      </c>
      <c r="J30" s="131"/>
      <c r="K30" s="131"/>
      <c r="L30" s="132">
        <f t="shared" ref="L30:L97" si="7">I30+J30+K30</f>
        <v>0</v>
      </c>
    </row>
    <row r="31" spans="1:12" ht="78.75" x14ac:dyDescent="0.25">
      <c r="A31" s="130" t="s">
        <v>263</v>
      </c>
      <c r="B31" s="130" t="s">
        <v>348</v>
      </c>
      <c r="C31" s="130" t="s">
        <v>350</v>
      </c>
      <c r="D31" s="130" t="s">
        <v>347</v>
      </c>
      <c r="E31" s="131">
        <v>259000</v>
      </c>
      <c r="F31" s="130">
        <v>1</v>
      </c>
      <c r="G31" s="131">
        <f t="shared" si="6"/>
        <v>259000</v>
      </c>
      <c r="H31" s="131">
        <v>0</v>
      </c>
      <c r="I31" s="131">
        <v>0</v>
      </c>
      <c r="J31" s="131"/>
      <c r="K31" s="131"/>
      <c r="L31" s="132">
        <f t="shared" si="7"/>
        <v>0</v>
      </c>
    </row>
    <row r="32" spans="1:12" ht="78.75" x14ac:dyDescent="0.25">
      <c r="A32" s="130" t="s">
        <v>263</v>
      </c>
      <c r="B32" s="130" t="s">
        <v>348</v>
      </c>
      <c r="C32" s="130" t="s">
        <v>351</v>
      </c>
      <c r="D32" s="130" t="s">
        <v>347</v>
      </c>
      <c r="E32" s="131">
        <v>259000</v>
      </c>
      <c r="F32" s="130">
        <v>1</v>
      </c>
      <c r="G32" s="131">
        <f t="shared" si="6"/>
        <v>259000</v>
      </c>
      <c r="H32" s="131">
        <v>0</v>
      </c>
      <c r="I32" s="131">
        <v>0</v>
      </c>
      <c r="J32" s="131"/>
      <c r="K32" s="131"/>
      <c r="L32" s="132">
        <f t="shared" si="7"/>
        <v>0</v>
      </c>
    </row>
    <row r="33" spans="1:12" ht="78.75" x14ac:dyDescent="0.25">
      <c r="A33" s="130" t="s">
        <v>263</v>
      </c>
      <c r="B33" s="130" t="s">
        <v>352</v>
      </c>
      <c r="C33" s="130" t="s">
        <v>353</v>
      </c>
      <c r="D33" s="130" t="s">
        <v>277</v>
      </c>
      <c r="E33" s="131">
        <v>259000</v>
      </c>
      <c r="F33" s="130">
        <v>2.5</v>
      </c>
      <c r="G33" s="131">
        <f t="shared" si="6"/>
        <v>647500</v>
      </c>
      <c r="H33" s="131">
        <v>750000</v>
      </c>
      <c r="I33" s="131">
        <v>0</v>
      </c>
      <c r="J33" s="131">
        <v>80000</v>
      </c>
      <c r="K33" s="131"/>
      <c r="L33" s="132">
        <f t="shared" si="7"/>
        <v>80000</v>
      </c>
    </row>
    <row r="34" spans="1:12" ht="78.75" x14ac:dyDescent="0.25">
      <c r="A34" s="130" t="s">
        <v>263</v>
      </c>
      <c r="B34" s="130" t="s">
        <v>354</v>
      </c>
      <c r="C34" s="130" t="s">
        <v>355</v>
      </c>
      <c r="D34" s="130" t="s">
        <v>277</v>
      </c>
      <c r="E34" s="131">
        <v>259000</v>
      </c>
      <c r="F34" s="130">
        <v>1</v>
      </c>
      <c r="G34" s="131">
        <f t="shared" si="6"/>
        <v>259000</v>
      </c>
      <c r="H34" s="131">
        <v>0</v>
      </c>
      <c r="I34" s="131">
        <v>20000</v>
      </c>
      <c r="J34" s="131"/>
      <c r="K34" s="131"/>
      <c r="L34" s="132">
        <f t="shared" si="7"/>
        <v>20000</v>
      </c>
    </row>
    <row r="35" spans="1:12" ht="78.75" x14ac:dyDescent="0.25">
      <c r="A35" s="130" t="s">
        <v>263</v>
      </c>
      <c r="B35" s="130" t="s">
        <v>354</v>
      </c>
      <c r="C35" s="130" t="s">
        <v>356</v>
      </c>
      <c r="D35" s="130" t="s">
        <v>277</v>
      </c>
      <c r="E35" s="131">
        <v>259000</v>
      </c>
      <c r="F35" s="130">
        <v>1</v>
      </c>
      <c r="G35" s="131">
        <f t="shared" si="6"/>
        <v>259000</v>
      </c>
      <c r="H35" s="131">
        <v>0</v>
      </c>
      <c r="I35" s="131">
        <v>40000</v>
      </c>
      <c r="J35" s="131"/>
      <c r="K35" s="131"/>
      <c r="L35" s="132">
        <f t="shared" si="7"/>
        <v>40000</v>
      </c>
    </row>
    <row r="36" spans="1:12" ht="78.75" x14ac:dyDescent="0.25">
      <c r="A36" s="130" t="s">
        <v>263</v>
      </c>
      <c r="B36" s="130" t="s">
        <v>357</v>
      </c>
      <c r="C36" s="130" t="s">
        <v>358</v>
      </c>
      <c r="D36" s="130" t="s">
        <v>347</v>
      </c>
      <c r="E36" s="131">
        <v>259000</v>
      </c>
      <c r="F36" s="130">
        <v>2.5</v>
      </c>
      <c r="G36" s="131">
        <f t="shared" si="6"/>
        <v>647500</v>
      </c>
      <c r="H36" s="131">
        <v>750000</v>
      </c>
      <c r="I36" s="131">
        <v>0</v>
      </c>
      <c r="J36" s="131">
        <v>60000</v>
      </c>
      <c r="K36" s="131">
        <v>0</v>
      </c>
      <c r="L36" s="132">
        <f t="shared" si="7"/>
        <v>60000</v>
      </c>
    </row>
    <row r="37" spans="1:12" ht="78.75" x14ac:dyDescent="0.25">
      <c r="A37" s="130" t="s">
        <v>263</v>
      </c>
      <c r="B37" s="130" t="s">
        <v>359</v>
      </c>
      <c r="C37" s="130" t="s">
        <v>360</v>
      </c>
      <c r="D37" s="130" t="s">
        <v>347</v>
      </c>
      <c r="E37" s="131">
        <v>259000</v>
      </c>
      <c r="F37" s="130">
        <v>1.5</v>
      </c>
      <c r="G37" s="131">
        <f t="shared" si="6"/>
        <v>388500</v>
      </c>
      <c r="H37" s="131">
        <v>0</v>
      </c>
      <c r="I37" s="131">
        <v>0</v>
      </c>
      <c r="J37" s="131"/>
      <c r="K37" s="131"/>
      <c r="L37" s="132">
        <f t="shared" si="7"/>
        <v>0</v>
      </c>
    </row>
    <row r="38" spans="1:12" ht="78.75" x14ac:dyDescent="0.25">
      <c r="A38" s="130" t="s">
        <v>263</v>
      </c>
      <c r="B38" s="130" t="s">
        <v>361</v>
      </c>
      <c r="C38" s="130" t="s">
        <v>362</v>
      </c>
      <c r="D38" s="130" t="s">
        <v>347</v>
      </c>
      <c r="E38" s="131">
        <v>259000</v>
      </c>
      <c r="F38" s="130">
        <v>0.5</v>
      </c>
      <c r="G38" s="131">
        <f t="shared" si="6"/>
        <v>129500</v>
      </c>
      <c r="H38" s="131">
        <v>0</v>
      </c>
      <c r="I38" s="131">
        <v>14000</v>
      </c>
      <c r="J38" s="131">
        <v>0</v>
      </c>
      <c r="K38" s="131">
        <v>0</v>
      </c>
      <c r="L38" s="132">
        <f t="shared" si="7"/>
        <v>14000</v>
      </c>
    </row>
    <row r="39" spans="1:12" ht="78.75" x14ac:dyDescent="0.25">
      <c r="A39" s="130" t="s">
        <v>263</v>
      </c>
      <c r="B39" s="130" t="s">
        <v>361</v>
      </c>
      <c r="C39" s="130" t="s">
        <v>363</v>
      </c>
      <c r="D39" s="130" t="s">
        <v>347</v>
      </c>
      <c r="E39" s="131">
        <v>259000</v>
      </c>
      <c r="F39" s="130">
        <v>0.5</v>
      </c>
      <c r="G39" s="131">
        <f t="shared" si="6"/>
        <v>129500</v>
      </c>
      <c r="H39" s="131">
        <v>0</v>
      </c>
      <c r="I39" s="131">
        <v>14000</v>
      </c>
      <c r="J39" s="131">
        <v>0</v>
      </c>
      <c r="K39" s="131">
        <v>0</v>
      </c>
      <c r="L39" s="132">
        <f t="shared" si="7"/>
        <v>14000</v>
      </c>
    </row>
    <row r="40" spans="1:12" ht="78.75" x14ac:dyDescent="0.25">
      <c r="A40" s="130" t="s">
        <v>263</v>
      </c>
      <c r="B40" s="130" t="s">
        <v>364</v>
      </c>
      <c r="C40" s="130" t="s">
        <v>365</v>
      </c>
      <c r="D40" s="130" t="s">
        <v>277</v>
      </c>
      <c r="E40" s="131">
        <v>259000</v>
      </c>
      <c r="F40" s="130">
        <v>2.5</v>
      </c>
      <c r="G40" s="131">
        <f t="shared" si="6"/>
        <v>647500</v>
      </c>
      <c r="H40" s="131">
        <v>750000</v>
      </c>
      <c r="I40" s="131">
        <v>0</v>
      </c>
      <c r="J40" s="131">
        <v>80000</v>
      </c>
      <c r="K40" s="131">
        <v>0</v>
      </c>
      <c r="L40" s="132">
        <f t="shared" si="7"/>
        <v>80000</v>
      </c>
    </row>
    <row r="41" spans="1:12" ht="78.75" x14ac:dyDescent="0.25">
      <c r="A41" s="130" t="s">
        <v>263</v>
      </c>
      <c r="B41" s="130" t="s">
        <v>366</v>
      </c>
      <c r="C41" s="130" t="s">
        <v>367</v>
      </c>
      <c r="D41" s="130" t="s">
        <v>277</v>
      </c>
      <c r="E41" s="131">
        <v>259000</v>
      </c>
      <c r="F41" s="130">
        <v>1</v>
      </c>
      <c r="G41" s="131">
        <f t="shared" si="6"/>
        <v>259000</v>
      </c>
      <c r="H41" s="131">
        <v>0</v>
      </c>
      <c r="I41" s="131">
        <v>10000</v>
      </c>
      <c r="J41" s="131">
        <v>0</v>
      </c>
      <c r="K41" s="131">
        <v>0</v>
      </c>
      <c r="L41" s="132">
        <f t="shared" si="7"/>
        <v>10000</v>
      </c>
    </row>
    <row r="42" spans="1:12" ht="78.75" x14ac:dyDescent="0.25">
      <c r="A42" s="130" t="s">
        <v>263</v>
      </c>
      <c r="B42" s="130" t="s">
        <v>368</v>
      </c>
      <c r="C42" s="130" t="s">
        <v>369</v>
      </c>
      <c r="D42" s="130" t="s">
        <v>277</v>
      </c>
      <c r="E42" s="131">
        <v>259000</v>
      </c>
      <c r="F42" s="130">
        <v>2.5</v>
      </c>
      <c r="G42" s="131">
        <f t="shared" si="6"/>
        <v>647500</v>
      </c>
      <c r="H42" s="131">
        <v>750000</v>
      </c>
      <c r="I42" s="131">
        <v>0</v>
      </c>
      <c r="J42" s="131">
        <v>80000</v>
      </c>
      <c r="K42" s="131">
        <v>140000</v>
      </c>
      <c r="L42" s="132">
        <f t="shared" si="7"/>
        <v>220000</v>
      </c>
    </row>
    <row r="43" spans="1:12" ht="78.75" x14ac:dyDescent="0.25">
      <c r="A43" s="130" t="s">
        <v>263</v>
      </c>
      <c r="B43" s="130" t="s">
        <v>370</v>
      </c>
      <c r="C43" s="130" t="s">
        <v>300</v>
      </c>
      <c r="D43" s="130" t="s">
        <v>277</v>
      </c>
      <c r="E43" s="131">
        <v>259000</v>
      </c>
      <c r="F43" s="130">
        <v>1</v>
      </c>
      <c r="G43" s="131">
        <f t="shared" si="6"/>
        <v>259000</v>
      </c>
      <c r="H43" s="131">
        <v>0</v>
      </c>
      <c r="I43" s="131">
        <v>0</v>
      </c>
      <c r="J43" s="131"/>
      <c r="K43" s="131"/>
      <c r="L43" s="132">
        <f t="shared" si="7"/>
        <v>0</v>
      </c>
    </row>
    <row r="44" spans="1:12" ht="78.75" x14ac:dyDescent="0.25">
      <c r="A44" s="130" t="s">
        <v>263</v>
      </c>
      <c r="B44" s="130" t="s">
        <v>370</v>
      </c>
      <c r="C44" s="130" t="s">
        <v>371</v>
      </c>
      <c r="D44" s="130" t="s">
        <v>277</v>
      </c>
      <c r="E44" s="131">
        <v>259000</v>
      </c>
      <c r="F44" s="130">
        <v>1</v>
      </c>
      <c r="G44" s="131">
        <f t="shared" si="6"/>
        <v>259000</v>
      </c>
      <c r="H44" s="131">
        <v>0</v>
      </c>
      <c r="I44" s="131">
        <v>0</v>
      </c>
      <c r="J44" s="131"/>
      <c r="K44" s="131"/>
      <c r="L44" s="132">
        <f t="shared" si="7"/>
        <v>0</v>
      </c>
    </row>
    <row r="45" spans="1:12" ht="78.75" x14ac:dyDescent="0.25">
      <c r="A45" s="130" t="s">
        <v>263</v>
      </c>
      <c r="B45" s="130" t="s">
        <v>372</v>
      </c>
      <c r="C45" s="130" t="s">
        <v>373</v>
      </c>
      <c r="D45" s="130" t="s">
        <v>277</v>
      </c>
      <c r="E45" s="131">
        <v>259000</v>
      </c>
      <c r="F45" s="130">
        <v>2.5</v>
      </c>
      <c r="G45" s="131">
        <f t="shared" si="6"/>
        <v>647500</v>
      </c>
      <c r="H45" s="131">
        <v>750000</v>
      </c>
      <c r="I45" s="131"/>
      <c r="J45" s="131">
        <v>80000</v>
      </c>
      <c r="K45" s="131">
        <v>100000</v>
      </c>
      <c r="L45" s="132">
        <f t="shared" si="7"/>
        <v>180000</v>
      </c>
    </row>
    <row r="46" spans="1:12" ht="78.75" x14ac:dyDescent="0.25">
      <c r="A46" s="130" t="s">
        <v>263</v>
      </c>
      <c r="B46" s="130" t="s">
        <v>374</v>
      </c>
      <c r="C46" s="130" t="s">
        <v>367</v>
      </c>
      <c r="D46" s="130" t="s">
        <v>277</v>
      </c>
      <c r="E46" s="131">
        <v>259000</v>
      </c>
      <c r="F46" s="130">
        <v>1</v>
      </c>
      <c r="G46" s="131">
        <f t="shared" si="6"/>
        <v>259000</v>
      </c>
      <c r="H46" s="131">
        <v>0</v>
      </c>
      <c r="I46" s="131">
        <v>80000</v>
      </c>
      <c r="J46" s="131">
        <v>0</v>
      </c>
      <c r="K46" s="131">
        <v>0</v>
      </c>
      <c r="L46" s="132">
        <f t="shared" si="7"/>
        <v>80000</v>
      </c>
    </row>
    <row r="47" spans="1:12" ht="78.75" x14ac:dyDescent="0.25">
      <c r="A47" s="130" t="s">
        <v>263</v>
      </c>
      <c r="B47" s="130" t="s">
        <v>374</v>
      </c>
      <c r="C47" s="130" t="s">
        <v>367</v>
      </c>
      <c r="D47" s="130" t="s">
        <v>277</v>
      </c>
      <c r="E47" s="131">
        <v>259000</v>
      </c>
      <c r="F47" s="130">
        <v>1</v>
      </c>
      <c r="G47" s="131">
        <f t="shared" si="6"/>
        <v>259000</v>
      </c>
      <c r="H47" s="131">
        <v>0</v>
      </c>
      <c r="I47" s="131">
        <v>40000</v>
      </c>
      <c r="J47" s="131">
        <v>0</v>
      </c>
      <c r="K47" s="131">
        <v>0</v>
      </c>
      <c r="L47" s="132">
        <f t="shared" si="7"/>
        <v>40000</v>
      </c>
    </row>
    <row r="48" spans="1:12" ht="78.75" x14ac:dyDescent="0.25">
      <c r="A48" s="130" t="s">
        <v>263</v>
      </c>
      <c r="B48" s="130" t="s">
        <v>361</v>
      </c>
      <c r="C48" s="130" t="s">
        <v>360</v>
      </c>
      <c r="D48" s="130" t="s">
        <v>347</v>
      </c>
      <c r="E48" s="131">
        <v>259000</v>
      </c>
      <c r="F48" s="130">
        <v>0.5</v>
      </c>
      <c r="G48" s="131">
        <f t="shared" si="6"/>
        <v>129500</v>
      </c>
      <c r="H48" s="131">
        <v>0</v>
      </c>
      <c r="I48" s="131">
        <v>0</v>
      </c>
      <c r="J48" s="131">
        <v>0</v>
      </c>
      <c r="K48" s="131">
        <v>0</v>
      </c>
      <c r="L48" s="132">
        <f t="shared" si="7"/>
        <v>0</v>
      </c>
    </row>
    <row r="49" spans="1:12" ht="78.75" x14ac:dyDescent="0.25">
      <c r="A49" s="130" t="s">
        <v>263</v>
      </c>
      <c r="B49" s="130" t="s">
        <v>361</v>
      </c>
      <c r="C49" s="130" t="s">
        <v>362</v>
      </c>
      <c r="D49" s="130" t="s">
        <v>347</v>
      </c>
      <c r="E49" s="131">
        <v>259000</v>
      </c>
      <c r="F49" s="130">
        <v>0.5</v>
      </c>
      <c r="G49" s="131">
        <f t="shared" si="6"/>
        <v>129500</v>
      </c>
      <c r="H49" s="131">
        <v>0</v>
      </c>
      <c r="I49" s="131">
        <v>14000</v>
      </c>
      <c r="J49" s="131">
        <v>0</v>
      </c>
      <c r="K49" s="131">
        <v>0</v>
      </c>
      <c r="L49" s="132">
        <f t="shared" si="7"/>
        <v>14000</v>
      </c>
    </row>
    <row r="50" spans="1:12" ht="78.75" x14ac:dyDescent="0.25">
      <c r="A50" s="130" t="s">
        <v>263</v>
      </c>
      <c r="B50" s="130" t="s">
        <v>361</v>
      </c>
      <c r="C50" s="130" t="s">
        <v>363</v>
      </c>
      <c r="D50" s="130" t="s">
        <v>347</v>
      </c>
      <c r="E50" s="131">
        <v>259000</v>
      </c>
      <c r="F50" s="130">
        <v>0.5</v>
      </c>
      <c r="G50" s="131">
        <f t="shared" si="6"/>
        <v>129500</v>
      </c>
      <c r="H50" s="131">
        <v>0</v>
      </c>
      <c r="I50" s="131">
        <v>14000</v>
      </c>
      <c r="J50" s="131">
        <v>0</v>
      </c>
      <c r="K50" s="131">
        <v>0</v>
      </c>
      <c r="L50" s="132">
        <f t="shared" si="7"/>
        <v>14000</v>
      </c>
    </row>
    <row r="51" spans="1:12" ht="78.75" x14ac:dyDescent="0.25">
      <c r="A51" s="130" t="s">
        <v>263</v>
      </c>
      <c r="B51" s="130" t="s">
        <v>375</v>
      </c>
      <c r="C51" s="130" t="s">
        <v>365</v>
      </c>
      <c r="D51" s="130" t="s">
        <v>277</v>
      </c>
      <c r="E51" s="131">
        <v>259000</v>
      </c>
      <c r="F51" s="130">
        <v>1.5</v>
      </c>
      <c r="G51" s="131">
        <f t="shared" si="6"/>
        <v>388500</v>
      </c>
      <c r="H51" s="131">
        <v>750000</v>
      </c>
      <c r="I51" s="131">
        <v>0</v>
      </c>
      <c r="J51" s="131">
        <v>80000</v>
      </c>
      <c r="K51" s="131">
        <v>0</v>
      </c>
      <c r="L51" s="132">
        <f t="shared" si="7"/>
        <v>80000</v>
      </c>
    </row>
    <row r="52" spans="1:12" ht="78.75" x14ac:dyDescent="0.25">
      <c r="A52" s="130" t="s">
        <v>263</v>
      </c>
      <c r="B52" s="130" t="s">
        <v>375</v>
      </c>
      <c r="C52" s="130" t="s">
        <v>367</v>
      </c>
      <c r="D52" s="130" t="s">
        <v>277</v>
      </c>
      <c r="E52" s="131">
        <v>259000</v>
      </c>
      <c r="F52" s="130">
        <v>1</v>
      </c>
      <c r="G52" s="131">
        <f t="shared" si="6"/>
        <v>259000</v>
      </c>
      <c r="H52" s="131">
        <v>0</v>
      </c>
      <c r="I52" s="131">
        <v>20000</v>
      </c>
      <c r="J52" s="131">
        <v>0</v>
      </c>
      <c r="K52" s="131">
        <v>0</v>
      </c>
      <c r="L52" s="132">
        <f t="shared" si="7"/>
        <v>20000</v>
      </c>
    </row>
    <row r="53" spans="1:12" ht="78.75" x14ac:dyDescent="0.25">
      <c r="A53" s="130" t="s">
        <v>263</v>
      </c>
      <c r="B53" s="130" t="s">
        <v>370</v>
      </c>
      <c r="C53" s="130" t="s">
        <v>369</v>
      </c>
      <c r="D53" s="130" t="s">
        <v>277</v>
      </c>
      <c r="E53" s="131">
        <v>259000</v>
      </c>
      <c r="F53" s="130">
        <v>1.5</v>
      </c>
      <c r="G53" s="131">
        <f t="shared" si="6"/>
        <v>388500</v>
      </c>
      <c r="H53" s="131">
        <v>750000</v>
      </c>
      <c r="I53" s="131">
        <v>0</v>
      </c>
      <c r="J53" s="131">
        <v>80000</v>
      </c>
      <c r="K53" s="131">
        <v>140000</v>
      </c>
      <c r="L53" s="132">
        <f t="shared" si="7"/>
        <v>220000</v>
      </c>
    </row>
    <row r="54" spans="1:12" ht="78.75" x14ac:dyDescent="0.25">
      <c r="A54" s="130" t="s">
        <v>263</v>
      </c>
      <c r="B54" s="130" t="s">
        <v>370</v>
      </c>
      <c r="C54" s="130" t="s">
        <v>371</v>
      </c>
      <c r="D54" s="130" t="s">
        <v>277</v>
      </c>
      <c r="E54" s="131">
        <v>259000</v>
      </c>
      <c r="F54" s="130">
        <v>1</v>
      </c>
      <c r="G54" s="131">
        <f t="shared" si="6"/>
        <v>259000</v>
      </c>
      <c r="H54" s="131">
        <v>0</v>
      </c>
      <c r="I54" s="131">
        <v>0</v>
      </c>
      <c r="J54" s="131">
        <v>0</v>
      </c>
      <c r="K54" s="131">
        <v>0</v>
      </c>
      <c r="L54" s="132">
        <f t="shared" si="7"/>
        <v>0</v>
      </c>
    </row>
    <row r="55" spans="1:12" ht="78.75" x14ac:dyDescent="0.25">
      <c r="A55" s="130" t="s">
        <v>263</v>
      </c>
      <c r="B55" s="130" t="s">
        <v>370</v>
      </c>
      <c r="C55" s="130" t="s">
        <v>300</v>
      </c>
      <c r="D55" s="130" t="s">
        <v>277</v>
      </c>
      <c r="E55" s="131">
        <v>259000</v>
      </c>
      <c r="F55" s="130">
        <v>1</v>
      </c>
      <c r="G55" s="131">
        <f t="shared" si="6"/>
        <v>259000</v>
      </c>
      <c r="H55" s="131">
        <v>0</v>
      </c>
      <c r="I55" s="131">
        <v>0</v>
      </c>
      <c r="J55" s="131">
        <v>0</v>
      </c>
      <c r="K55" s="131">
        <v>0</v>
      </c>
      <c r="L55" s="132">
        <f t="shared" si="7"/>
        <v>0</v>
      </c>
    </row>
    <row r="56" spans="1:12" ht="78.75" x14ac:dyDescent="0.25">
      <c r="A56" s="130" t="s">
        <v>263</v>
      </c>
      <c r="B56" s="130" t="s">
        <v>374</v>
      </c>
      <c r="C56" s="130" t="s">
        <v>373</v>
      </c>
      <c r="D56" s="130" t="s">
        <v>277</v>
      </c>
      <c r="E56" s="131">
        <v>259000</v>
      </c>
      <c r="F56" s="130">
        <v>1.5</v>
      </c>
      <c r="G56" s="131">
        <f t="shared" si="6"/>
        <v>388500</v>
      </c>
      <c r="H56" s="131">
        <v>750000</v>
      </c>
      <c r="I56" s="131"/>
      <c r="J56" s="131">
        <v>80000</v>
      </c>
      <c r="K56" s="131">
        <v>100000</v>
      </c>
      <c r="L56" s="132">
        <f t="shared" si="7"/>
        <v>180000</v>
      </c>
    </row>
    <row r="57" spans="1:12" ht="78.75" x14ac:dyDescent="0.25">
      <c r="A57" s="130" t="s">
        <v>263</v>
      </c>
      <c r="B57" s="130" t="s">
        <v>374</v>
      </c>
      <c r="C57" s="130" t="s">
        <v>367</v>
      </c>
      <c r="D57" s="130" t="s">
        <v>277</v>
      </c>
      <c r="E57" s="131">
        <v>259000</v>
      </c>
      <c r="F57" s="130">
        <v>1</v>
      </c>
      <c r="G57" s="131">
        <f t="shared" si="6"/>
        <v>259000</v>
      </c>
      <c r="H57" s="131">
        <v>0</v>
      </c>
      <c r="I57" s="131">
        <v>80000</v>
      </c>
      <c r="J57" s="131">
        <v>0</v>
      </c>
      <c r="K57" s="131">
        <v>0</v>
      </c>
      <c r="L57" s="132">
        <f t="shared" si="7"/>
        <v>80000</v>
      </c>
    </row>
    <row r="58" spans="1:12" ht="78.75" x14ac:dyDescent="0.25">
      <c r="A58" s="130" t="s">
        <v>263</v>
      </c>
      <c r="B58" s="130" t="s">
        <v>374</v>
      </c>
      <c r="C58" s="130" t="s">
        <v>367</v>
      </c>
      <c r="D58" s="130" t="s">
        <v>277</v>
      </c>
      <c r="E58" s="131">
        <v>259000</v>
      </c>
      <c r="F58" s="130">
        <v>1</v>
      </c>
      <c r="G58" s="131">
        <f t="shared" si="6"/>
        <v>259000</v>
      </c>
      <c r="H58" s="131">
        <v>0</v>
      </c>
      <c r="I58" s="131">
        <v>40000</v>
      </c>
      <c r="J58" s="131">
        <v>0</v>
      </c>
      <c r="K58" s="131">
        <v>0</v>
      </c>
      <c r="L58" s="132">
        <f t="shared" si="7"/>
        <v>40000</v>
      </c>
    </row>
    <row r="59" spans="1:12" ht="78.75" x14ac:dyDescent="0.25">
      <c r="A59" s="130" t="s">
        <v>263</v>
      </c>
      <c r="B59" s="130" t="s">
        <v>376</v>
      </c>
      <c r="C59" s="130" t="s">
        <v>377</v>
      </c>
      <c r="D59" s="130" t="s">
        <v>347</v>
      </c>
      <c r="E59" s="131">
        <v>259000</v>
      </c>
      <c r="F59" s="130">
        <v>2.5</v>
      </c>
      <c r="G59" s="131">
        <f t="shared" si="6"/>
        <v>647500</v>
      </c>
      <c r="H59" s="131">
        <v>750000</v>
      </c>
      <c r="I59" s="131">
        <v>0</v>
      </c>
      <c r="J59" s="131">
        <v>60000</v>
      </c>
      <c r="K59" s="131">
        <v>0</v>
      </c>
      <c r="L59" s="132">
        <f t="shared" si="7"/>
        <v>60000</v>
      </c>
    </row>
    <row r="60" spans="1:12" ht="78.75" x14ac:dyDescent="0.25">
      <c r="A60" s="130" t="s">
        <v>263</v>
      </c>
      <c r="B60" s="130" t="s">
        <v>376</v>
      </c>
      <c r="C60" s="130" t="s">
        <v>378</v>
      </c>
      <c r="D60" s="130" t="s">
        <v>347</v>
      </c>
      <c r="E60" s="131">
        <v>259000</v>
      </c>
      <c r="F60" s="130">
        <v>1</v>
      </c>
      <c r="G60" s="131">
        <f t="shared" si="6"/>
        <v>259000</v>
      </c>
      <c r="H60" s="131">
        <v>0</v>
      </c>
      <c r="I60" s="131">
        <v>20000</v>
      </c>
      <c r="J60" s="131">
        <v>0</v>
      </c>
      <c r="K60" s="131">
        <v>0</v>
      </c>
      <c r="L60" s="132">
        <f t="shared" si="7"/>
        <v>20000</v>
      </c>
    </row>
    <row r="61" spans="1:12" ht="78.75" x14ac:dyDescent="0.25">
      <c r="A61" s="130" t="s">
        <v>263</v>
      </c>
      <c r="B61" s="130" t="s">
        <v>376</v>
      </c>
      <c r="C61" s="130" t="s">
        <v>379</v>
      </c>
      <c r="D61" s="130" t="s">
        <v>347</v>
      </c>
      <c r="E61" s="131">
        <v>259000</v>
      </c>
      <c r="F61" s="130">
        <v>1</v>
      </c>
      <c r="G61" s="131">
        <f t="shared" si="6"/>
        <v>259000</v>
      </c>
      <c r="H61" s="131">
        <v>0</v>
      </c>
      <c r="I61" s="131">
        <v>80000</v>
      </c>
      <c r="J61" s="131">
        <v>0</v>
      </c>
      <c r="K61" s="131">
        <v>0</v>
      </c>
      <c r="L61" s="132">
        <f t="shared" si="7"/>
        <v>80000</v>
      </c>
    </row>
    <row r="62" spans="1:12" ht="78.75" x14ac:dyDescent="0.25">
      <c r="A62" s="130" t="s">
        <v>263</v>
      </c>
      <c r="B62" s="130" t="s">
        <v>376</v>
      </c>
      <c r="C62" s="130" t="s">
        <v>380</v>
      </c>
      <c r="D62" s="130" t="s">
        <v>347</v>
      </c>
      <c r="E62" s="131">
        <v>259000</v>
      </c>
      <c r="F62" s="130">
        <v>1</v>
      </c>
      <c r="G62" s="131">
        <f t="shared" si="6"/>
        <v>259000</v>
      </c>
      <c r="H62" s="131">
        <v>0</v>
      </c>
      <c r="I62" s="131">
        <v>60000</v>
      </c>
      <c r="J62" s="131">
        <v>0</v>
      </c>
      <c r="K62" s="131">
        <v>0</v>
      </c>
      <c r="L62" s="132">
        <f t="shared" si="7"/>
        <v>60000</v>
      </c>
    </row>
    <row r="63" spans="1:12" ht="78.75" x14ac:dyDescent="0.25">
      <c r="A63" s="130" t="s">
        <v>263</v>
      </c>
      <c r="B63" s="130" t="s">
        <v>381</v>
      </c>
      <c r="C63" s="130" t="s">
        <v>382</v>
      </c>
      <c r="D63" s="130" t="s">
        <v>347</v>
      </c>
      <c r="E63" s="131">
        <v>259000</v>
      </c>
      <c r="F63" s="130">
        <v>2.5</v>
      </c>
      <c r="G63" s="131">
        <f t="shared" si="6"/>
        <v>647500</v>
      </c>
      <c r="H63" s="131">
        <v>750000</v>
      </c>
      <c r="I63" s="131">
        <v>40000</v>
      </c>
      <c r="J63" s="131">
        <v>60000</v>
      </c>
      <c r="K63" s="131">
        <v>0</v>
      </c>
      <c r="L63" s="132">
        <f t="shared" si="7"/>
        <v>100000</v>
      </c>
    </row>
    <row r="64" spans="1:12" ht="78.75" x14ac:dyDescent="0.25">
      <c r="A64" s="130" t="s">
        <v>263</v>
      </c>
      <c r="B64" s="130" t="s">
        <v>381</v>
      </c>
      <c r="C64" s="130" t="s">
        <v>383</v>
      </c>
      <c r="D64" s="130" t="s">
        <v>347</v>
      </c>
      <c r="E64" s="131">
        <v>259000</v>
      </c>
      <c r="F64" s="130">
        <v>2</v>
      </c>
      <c r="G64" s="131">
        <f t="shared" si="6"/>
        <v>518000</v>
      </c>
      <c r="H64" s="131">
        <v>0</v>
      </c>
      <c r="I64" s="131">
        <v>15000</v>
      </c>
      <c r="J64" s="131">
        <v>0</v>
      </c>
      <c r="K64" s="131">
        <v>0</v>
      </c>
      <c r="L64" s="132">
        <f t="shared" si="7"/>
        <v>15000</v>
      </c>
    </row>
    <row r="65" spans="1:12" ht="78.75" x14ac:dyDescent="0.25">
      <c r="A65" s="130" t="s">
        <v>263</v>
      </c>
      <c r="B65" s="130" t="s">
        <v>384</v>
      </c>
      <c r="C65" s="130" t="s">
        <v>385</v>
      </c>
      <c r="D65" s="130" t="s">
        <v>347</v>
      </c>
      <c r="E65" s="131">
        <v>259000</v>
      </c>
      <c r="F65" s="130">
        <v>1.5</v>
      </c>
      <c r="G65" s="131">
        <f t="shared" si="6"/>
        <v>388500</v>
      </c>
      <c r="H65" s="131">
        <v>0</v>
      </c>
      <c r="I65" s="131"/>
      <c r="J65" s="131"/>
      <c r="K65" s="131"/>
      <c r="L65" s="132">
        <f t="shared" si="7"/>
        <v>0</v>
      </c>
    </row>
    <row r="66" spans="1:12" ht="78.75" x14ac:dyDescent="0.25">
      <c r="A66" s="130" t="s">
        <v>263</v>
      </c>
      <c r="B66" s="130" t="s">
        <v>386</v>
      </c>
      <c r="C66" s="130" t="s">
        <v>387</v>
      </c>
      <c r="D66" s="130" t="s">
        <v>347</v>
      </c>
      <c r="E66" s="131">
        <v>259000</v>
      </c>
      <c r="F66" s="130">
        <v>2.5</v>
      </c>
      <c r="G66" s="131">
        <f t="shared" si="6"/>
        <v>647500</v>
      </c>
      <c r="H66" s="131">
        <v>750000</v>
      </c>
      <c r="I66" s="131">
        <v>0</v>
      </c>
      <c r="J66" s="131">
        <v>60000</v>
      </c>
      <c r="K66" s="131">
        <v>0</v>
      </c>
      <c r="L66" s="132">
        <f t="shared" si="7"/>
        <v>60000</v>
      </c>
    </row>
    <row r="67" spans="1:12" ht="78.75" x14ac:dyDescent="0.25">
      <c r="A67" s="130" t="s">
        <v>263</v>
      </c>
      <c r="B67" s="130" t="s">
        <v>386</v>
      </c>
      <c r="C67" s="130" t="s">
        <v>367</v>
      </c>
      <c r="D67" s="130" t="s">
        <v>347</v>
      </c>
      <c r="E67" s="131">
        <v>259000</v>
      </c>
      <c r="F67" s="130">
        <v>1</v>
      </c>
      <c r="G67" s="131">
        <f t="shared" si="6"/>
        <v>259000</v>
      </c>
      <c r="H67" s="131">
        <v>0</v>
      </c>
      <c r="I67" s="131">
        <v>50000</v>
      </c>
      <c r="J67" s="131">
        <v>0</v>
      </c>
      <c r="K67" s="131">
        <v>0</v>
      </c>
      <c r="L67" s="132">
        <f t="shared" si="7"/>
        <v>50000</v>
      </c>
    </row>
    <row r="68" spans="1:12" ht="78.75" x14ac:dyDescent="0.25">
      <c r="A68" s="130" t="s">
        <v>263</v>
      </c>
      <c r="B68" s="130" t="s">
        <v>388</v>
      </c>
      <c r="C68" s="130" t="s">
        <v>389</v>
      </c>
      <c r="D68" s="130" t="s">
        <v>347</v>
      </c>
      <c r="E68" s="131">
        <v>259000</v>
      </c>
      <c r="F68" s="130">
        <v>3.5</v>
      </c>
      <c r="G68" s="131">
        <f t="shared" si="6"/>
        <v>906500</v>
      </c>
      <c r="H68" s="131">
        <v>750000</v>
      </c>
      <c r="I68" s="131">
        <v>0</v>
      </c>
      <c r="J68" s="131">
        <v>60000</v>
      </c>
      <c r="K68" s="131">
        <v>0</v>
      </c>
      <c r="L68" s="132">
        <f t="shared" si="7"/>
        <v>60000</v>
      </c>
    </row>
    <row r="69" spans="1:12" ht="54" customHeight="1" x14ac:dyDescent="0.25">
      <c r="A69" s="123"/>
      <c r="B69" s="123"/>
      <c r="C69" s="123"/>
      <c r="D69" s="123"/>
      <c r="E69" s="123"/>
      <c r="F69" s="123"/>
      <c r="G69" s="124">
        <f t="shared" ref="G69:L69" si="8">SUM(G29:G68)</f>
        <v>14504000</v>
      </c>
      <c r="H69" s="124">
        <f t="shared" si="8"/>
        <v>9750000</v>
      </c>
      <c r="I69" s="124">
        <f t="shared" si="8"/>
        <v>651000</v>
      </c>
      <c r="J69" s="124">
        <f t="shared" si="8"/>
        <v>920000</v>
      </c>
      <c r="K69" s="124">
        <f t="shared" si="8"/>
        <v>530000</v>
      </c>
      <c r="L69" s="125">
        <f t="shared" si="8"/>
        <v>2101000</v>
      </c>
    </row>
    <row r="70" spans="1:12" ht="78.75" x14ac:dyDescent="0.25">
      <c r="A70" s="120" t="s">
        <v>343</v>
      </c>
      <c r="B70" s="120" t="s">
        <v>354</v>
      </c>
      <c r="C70" s="120" t="s">
        <v>390</v>
      </c>
      <c r="D70" s="120" t="s">
        <v>391</v>
      </c>
      <c r="E70" s="121">
        <v>297000</v>
      </c>
      <c r="F70" s="120">
        <v>2.5</v>
      </c>
      <c r="G70" s="121">
        <f t="shared" ref="G70:G93" si="9">E70*F70</f>
        <v>742500</v>
      </c>
      <c r="H70" s="121">
        <v>750000</v>
      </c>
      <c r="I70" s="121"/>
      <c r="J70" s="121">
        <v>80000</v>
      </c>
      <c r="K70" s="121"/>
      <c r="L70" s="122">
        <f t="shared" ref="L70:L83" si="10">I70+J70+K70</f>
        <v>80000</v>
      </c>
    </row>
    <row r="71" spans="1:12" ht="78.75" x14ac:dyDescent="0.25">
      <c r="A71" s="120" t="s">
        <v>343</v>
      </c>
      <c r="B71" s="120" t="s">
        <v>354</v>
      </c>
      <c r="C71" s="120" t="s">
        <v>355</v>
      </c>
      <c r="D71" s="120" t="s">
        <v>391</v>
      </c>
      <c r="E71" s="121">
        <v>297000</v>
      </c>
      <c r="F71" s="120">
        <v>1</v>
      </c>
      <c r="G71" s="121">
        <f t="shared" si="9"/>
        <v>297000</v>
      </c>
      <c r="H71" s="121">
        <v>0</v>
      </c>
      <c r="I71" s="121">
        <v>20000</v>
      </c>
      <c r="J71" s="121">
        <v>0</v>
      </c>
      <c r="K71" s="121">
        <v>0</v>
      </c>
      <c r="L71" s="122">
        <f t="shared" si="10"/>
        <v>20000</v>
      </c>
    </row>
    <row r="72" spans="1:12" ht="78.75" x14ac:dyDescent="0.25">
      <c r="A72" s="120" t="s">
        <v>343</v>
      </c>
      <c r="B72" s="120" t="s">
        <v>354</v>
      </c>
      <c r="C72" s="120" t="s">
        <v>356</v>
      </c>
      <c r="D72" s="120" t="s">
        <v>391</v>
      </c>
      <c r="E72" s="121">
        <v>297000</v>
      </c>
      <c r="F72" s="120">
        <v>1</v>
      </c>
      <c r="G72" s="121">
        <f t="shared" si="9"/>
        <v>297000</v>
      </c>
      <c r="H72" s="121">
        <v>0</v>
      </c>
      <c r="I72" s="121">
        <v>40000</v>
      </c>
      <c r="J72" s="121">
        <v>0</v>
      </c>
      <c r="K72" s="121">
        <v>0</v>
      </c>
      <c r="L72" s="122">
        <f t="shared" si="10"/>
        <v>40000</v>
      </c>
    </row>
    <row r="73" spans="1:12" ht="78.75" x14ac:dyDescent="0.25">
      <c r="A73" s="120" t="s">
        <v>343</v>
      </c>
      <c r="B73" s="120" t="s">
        <v>386</v>
      </c>
      <c r="C73" s="120" t="s">
        <v>387</v>
      </c>
      <c r="D73" s="120" t="s">
        <v>392</v>
      </c>
      <c r="E73" s="121">
        <v>297000</v>
      </c>
      <c r="F73" s="120">
        <v>3.5</v>
      </c>
      <c r="G73" s="121">
        <f t="shared" si="9"/>
        <v>1039500</v>
      </c>
      <c r="H73" s="121">
        <v>750000</v>
      </c>
      <c r="I73" s="121">
        <v>0</v>
      </c>
      <c r="J73" s="121">
        <v>120000</v>
      </c>
      <c r="K73" s="121">
        <v>0</v>
      </c>
      <c r="L73" s="122">
        <f t="shared" si="10"/>
        <v>120000</v>
      </c>
    </row>
    <row r="74" spans="1:12" ht="78.75" x14ac:dyDescent="0.25">
      <c r="A74" s="120" t="s">
        <v>343</v>
      </c>
      <c r="B74" s="120" t="s">
        <v>386</v>
      </c>
      <c r="C74" s="120" t="s">
        <v>367</v>
      </c>
      <c r="D74" s="120" t="s">
        <v>392</v>
      </c>
      <c r="E74" s="121">
        <v>297000</v>
      </c>
      <c r="F74" s="120">
        <v>1</v>
      </c>
      <c r="G74" s="121">
        <f t="shared" si="9"/>
        <v>297000</v>
      </c>
      <c r="H74" s="121">
        <v>0</v>
      </c>
      <c r="I74" s="121">
        <v>50000</v>
      </c>
      <c r="J74" s="121">
        <v>0</v>
      </c>
      <c r="K74" s="121">
        <v>0</v>
      </c>
      <c r="L74" s="122">
        <f t="shared" si="10"/>
        <v>50000</v>
      </c>
    </row>
    <row r="75" spans="1:12" ht="78.75" x14ac:dyDescent="0.25">
      <c r="A75" s="120" t="s">
        <v>343</v>
      </c>
      <c r="B75" s="120" t="s">
        <v>361</v>
      </c>
      <c r="C75" s="120" t="s">
        <v>360</v>
      </c>
      <c r="D75" s="120" t="s">
        <v>393</v>
      </c>
      <c r="E75" s="121">
        <v>297000</v>
      </c>
      <c r="F75" s="120">
        <v>1.5</v>
      </c>
      <c r="G75" s="121">
        <f t="shared" si="9"/>
        <v>445500</v>
      </c>
      <c r="H75" s="121">
        <v>0</v>
      </c>
      <c r="I75" s="121">
        <v>0</v>
      </c>
      <c r="J75" s="121">
        <v>0</v>
      </c>
      <c r="K75" s="121">
        <v>0</v>
      </c>
      <c r="L75" s="122">
        <f t="shared" si="10"/>
        <v>0</v>
      </c>
    </row>
    <row r="76" spans="1:12" ht="78.75" x14ac:dyDescent="0.25">
      <c r="A76" s="120" t="s">
        <v>343</v>
      </c>
      <c r="B76" s="120" t="s">
        <v>361</v>
      </c>
      <c r="C76" s="120" t="s">
        <v>363</v>
      </c>
      <c r="D76" s="120" t="s">
        <v>393</v>
      </c>
      <c r="E76" s="121">
        <v>297000</v>
      </c>
      <c r="F76" s="120">
        <v>0.5</v>
      </c>
      <c r="G76" s="121">
        <f t="shared" si="9"/>
        <v>148500</v>
      </c>
      <c r="H76" s="121">
        <v>0</v>
      </c>
      <c r="I76" s="121">
        <v>14000</v>
      </c>
      <c r="J76" s="121">
        <v>0</v>
      </c>
      <c r="K76" s="121">
        <v>0</v>
      </c>
      <c r="L76" s="122">
        <f t="shared" si="10"/>
        <v>14000</v>
      </c>
    </row>
    <row r="77" spans="1:12" ht="78.75" x14ac:dyDescent="0.25">
      <c r="A77" s="120" t="s">
        <v>343</v>
      </c>
      <c r="B77" s="120" t="s">
        <v>361</v>
      </c>
      <c r="C77" s="120" t="s">
        <v>362</v>
      </c>
      <c r="D77" s="120" t="s">
        <v>393</v>
      </c>
      <c r="E77" s="121">
        <v>297000</v>
      </c>
      <c r="F77" s="120">
        <v>0.5</v>
      </c>
      <c r="G77" s="121">
        <f t="shared" si="9"/>
        <v>148500</v>
      </c>
      <c r="H77" s="121">
        <v>0</v>
      </c>
      <c r="I77" s="121">
        <v>14000</v>
      </c>
      <c r="J77" s="121">
        <v>0</v>
      </c>
      <c r="K77" s="121">
        <v>0</v>
      </c>
      <c r="L77" s="122">
        <f t="shared" si="10"/>
        <v>14000</v>
      </c>
    </row>
    <row r="78" spans="1:12" ht="78.75" x14ac:dyDescent="0.25">
      <c r="A78" s="120" t="s">
        <v>343</v>
      </c>
      <c r="B78" s="120" t="s">
        <v>394</v>
      </c>
      <c r="C78" s="120" t="s">
        <v>395</v>
      </c>
      <c r="D78" s="120" t="s">
        <v>391</v>
      </c>
      <c r="E78" s="121">
        <v>297000</v>
      </c>
      <c r="F78" s="120">
        <v>3.5</v>
      </c>
      <c r="G78" s="121">
        <f t="shared" si="9"/>
        <v>1039500</v>
      </c>
      <c r="H78" s="121">
        <v>750000</v>
      </c>
      <c r="I78" s="121"/>
      <c r="J78" s="121">
        <v>80000</v>
      </c>
      <c r="K78" s="121">
        <v>0</v>
      </c>
      <c r="L78" s="122">
        <f t="shared" si="10"/>
        <v>80000</v>
      </c>
    </row>
    <row r="79" spans="1:12" ht="78.75" x14ac:dyDescent="0.25">
      <c r="A79" s="120" t="s">
        <v>343</v>
      </c>
      <c r="B79" s="120" t="s">
        <v>394</v>
      </c>
      <c r="C79" s="120" t="s">
        <v>396</v>
      </c>
      <c r="D79" s="120" t="s">
        <v>391</v>
      </c>
      <c r="E79" s="121">
        <v>297000</v>
      </c>
      <c r="F79" s="120">
        <v>1</v>
      </c>
      <c r="G79" s="121">
        <f t="shared" si="9"/>
        <v>297000</v>
      </c>
      <c r="H79" s="121">
        <v>0</v>
      </c>
      <c r="I79" s="121">
        <v>40000</v>
      </c>
      <c r="J79" s="121">
        <v>0</v>
      </c>
      <c r="K79" s="121"/>
      <c r="L79" s="122">
        <f t="shared" si="10"/>
        <v>40000</v>
      </c>
    </row>
    <row r="80" spans="1:12" ht="78.75" x14ac:dyDescent="0.25">
      <c r="A80" s="120" t="s">
        <v>343</v>
      </c>
      <c r="B80" s="120" t="s">
        <v>375</v>
      </c>
      <c r="C80" s="120" t="s">
        <v>365</v>
      </c>
      <c r="D80" s="120" t="s">
        <v>397</v>
      </c>
      <c r="E80" s="121">
        <v>297000</v>
      </c>
      <c r="F80" s="120">
        <v>2.5</v>
      </c>
      <c r="G80" s="121">
        <f t="shared" si="9"/>
        <v>742500</v>
      </c>
      <c r="H80" s="121">
        <v>750000</v>
      </c>
      <c r="I80" s="121">
        <v>0</v>
      </c>
      <c r="J80" s="121">
        <v>120000</v>
      </c>
      <c r="K80" s="121">
        <v>0</v>
      </c>
      <c r="L80" s="122">
        <f t="shared" si="10"/>
        <v>120000</v>
      </c>
    </row>
    <row r="81" spans="1:12" ht="78.75" x14ac:dyDescent="0.25">
      <c r="A81" s="120" t="s">
        <v>343</v>
      </c>
      <c r="B81" s="120" t="s">
        <v>375</v>
      </c>
      <c r="C81" s="120" t="s">
        <v>367</v>
      </c>
      <c r="D81" s="120" t="s">
        <v>397</v>
      </c>
      <c r="E81" s="121">
        <v>297000</v>
      </c>
      <c r="F81" s="120">
        <v>1</v>
      </c>
      <c r="G81" s="121">
        <f t="shared" si="9"/>
        <v>297000</v>
      </c>
      <c r="H81" s="121">
        <v>0</v>
      </c>
      <c r="I81" s="121">
        <v>20000</v>
      </c>
      <c r="J81" s="121">
        <v>0</v>
      </c>
      <c r="K81" s="121">
        <v>0</v>
      </c>
      <c r="L81" s="122">
        <f t="shared" si="10"/>
        <v>20000</v>
      </c>
    </row>
    <row r="82" spans="1:12" ht="78.75" x14ac:dyDescent="0.25">
      <c r="A82" s="120" t="s">
        <v>343</v>
      </c>
      <c r="B82" s="120" t="s">
        <v>370</v>
      </c>
      <c r="C82" s="120" t="s">
        <v>369</v>
      </c>
      <c r="D82" s="120" t="s">
        <v>391</v>
      </c>
      <c r="E82" s="121">
        <v>297000</v>
      </c>
      <c r="F82" s="120">
        <v>2.5</v>
      </c>
      <c r="G82" s="121">
        <f t="shared" si="9"/>
        <v>742500</v>
      </c>
      <c r="H82" s="121">
        <v>750000</v>
      </c>
      <c r="I82" s="121">
        <v>0</v>
      </c>
      <c r="J82" s="121">
        <v>80000</v>
      </c>
      <c r="K82" s="121">
        <v>140000</v>
      </c>
      <c r="L82" s="122">
        <f t="shared" si="10"/>
        <v>220000</v>
      </c>
    </row>
    <row r="83" spans="1:12" ht="78.75" x14ac:dyDescent="0.25">
      <c r="A83" s="120" t="s">
        <v>343</v>
      </c>
      <c r="B83" s="120" t="s">
        <v>370</v>
      </c>
      <c r="C83" s="120" t="s">
        <v>300</v>
      </c>
      <c r="D83" s="120" t="s">
        <v>391</v>
      </c>
      <c r="E83" s="121">
        <v>297000</v>
      </c>
      <c r="F83" s="120">
        <v>1</v>
      </c>
      <c r="G83" s="121">
        <f t="shared" si="9"/>
        <v>297000</v>
      </c>
      <c r="H83" s="121">
        <v>0</v>
      </c>
      <c r="I83" s="121">
        <v>0</v>
      </c>
      <c r="J83" s="121">
        <v>0</v>
      </c>
      <c r="K83" s="121">
        <v>0</v>
      </c>
      <c r="L83" s="122">
        <f t="shared" si="10"/>
        <v>0</v>
      </c>
    </row>
    <row r="84" spans="1:12" ht="78.75" x14ac:dyDescent="0.25">
      <c r="A84" s="120" t="s">
        <v>343</v>
      </c>
      <c r="B84" s="120" t="s">
        <v>370</v>
      </c>
      <c r="C84" s="120" t="s">
        <v>371</v>
      </c>
      <c r="D84" s="120" t="s">
        <v>391</v>
      </c>
      <c r="E84" s="121">
        <v>297000</v>
      </c>
      <c r="F84" s="120">
        <v>1</v>
      </c>
      <c r="G84" s="121">
        <f t="shared" si="9"/>
        <v>297000</v>
      </c>
      <c r="H84" s="121">
        <v>0</v>
      </c>
      <c r="I84" s="121">
        <v>0</v>
      </c>
      <c r="J84" s="121">
        <v>0</v>
      </c>
      <c r="K84" s="121">
        <v>0</v>
      </c>
      <c r="L84" s="122">
        <v>0</v>
      </c>
    </row>
    <row r="85" spans="1:12" ht="78.75" x14ac:dyDescent="0.25">
      <c r="A85" s="120" t="s">
        <v>343</v>
      </c>
      <c r="B85" s="120" t="s">
        <v>374</v>
      </c>
      <c r="C85" s="120" t="s">
        <v>373</v>
      </c>
      <c r="D85" s="120" t="s">
        <v>392</v>
      </c>
      <c r="E85" s="121">
        <v>297000</v>
      </c>
      <c r="F85" s="120">
        <v>2.5</v>
      </c>
      <c r="G85" s="121">
        <f t="shared" si="9"/>
        <v>742500</v>
      </c>
      <c r="H85" s="121">
        <v>750000</v>
      </c>
      <c r="I85" s="121"/>
      <c r="J85" s="121">
        <v>120000</v>
      </c>
      <c r="K85" s="121">
        <v>100000</v>
      </c>
      <c r="L85" s="122">
        <f t="shared" ref="L85:L93" si="11">I85+J85+K85</f>
        <v>220000</v>
      </c>
    </row>
    <row r="86" spans="1:12" ht="78.75" x14ac:dyDescent="0.25">
      <c r="A86" s="120" t="s">
        <v>343</v>
      </c>
      <c r="B86" s="120" t="s">
        <v>374</v>
      </c>
      <c r="C86" s="120" t="s">
        <v>367</v>
      </c>
      <c r="D86" s="120" t="s">
        <v>392</v>
      </c>
      <c r="E86" s="121">
        <v>297000</v>
      </c>
      <c r="F86" s="120">
        <v>1</v>
      </c>
      <c r="G86" s="121">
        <f t="shared" si="9"/>
        <v>297000</v>
      </c>
      <c r="H86" s="121">
        <v>0</v>
      </c>
      <c r="I86" s="121">
        <v>80000</v>
      </c>
      <c r="J86" s="121">
        <v>0</v>
      </c>
      <c r="K86" s="121"/>
      <c r="L86" s="122">
        <f t="shared" si="11"/>
        <v>80000</v>
      </c>
    </row>
    <row r="87" spans="1:12" ht="78.75" x14ac:dyDescent="0.25">
      <c r="A87" s="120" t="s">
        <v>343</v>
      </c>
      <c r="B87" s="120" t="s">
        <v>374</v>
      </c>
      <c r="C87" s="120" t="s">
        <v>367</v>
      </c>
      <c r="D87" s="120" t="s">
        <v>392</v>
      </c>
      <c r="E87" s="121">
        <v>297000</v>
      </c>
      <c r="F87" s="120">
        <v>1</v>
      </c>
      <c r="G87" s="121">
        <f t="shared" si="9"/>
        <v>297000</v>
      </c>
      <c r="H87" s="121">
        <v>0</v>
      </c>
      <c r="I87" s="121">
        <v>40000</v>
      </c>
      <c r="J87" s="121">
        <v>0</v>
      </c>
      <c r="K87" s="121">
        <v>0</v>
      </c>
      <c r="L87" s="122">
        <f t="shared" si="11"/>
        <v>40000</v>
      </c>
    </row>
    <row r="88" spans="1:12" ht="78.75" x14ac:dyDescent="0.25">
      <c r="A88" s="120" t="s">
        <v>343</v>
      </c>
      <c r="B88" s="120" t="s">
        <v>398</v>
      </c>
      <c r="C88" s="120" t="s">
        <v>389</v>
      </c>
      <c r="D88" s="120" t="s">
        <v>392</v>
      </c>
      <c r="E88" s="121">
        <v>297000</v>
      </c>
      <c r="F88" s="120">
        <v>4.5</v>
      </c>
      <c r="G88" s="121">
        <f t="shared" si="9"/>
        <v>1336500</v>
      </c>
      <c r="H88" s="121">
        <v>750000</v>
      </c>
      <c r="I88" s="121">
        <v>0</v>
      </c>
      <c r="J88" s="121">
        <v>120000</v>
      </c>
      <c r="K88" s="121">
        <v>0</v>
      </c>
      <c r="L88" s="122">
        <f t="shared" si="11"/>
        <v>120000</v>
      </c>
    </row>
    <row r="89" spans="1:12" ht="78.75" x14ac:dyDescent="0.25">
      <c r="A89" s="120" t="s">
        <v>343</v>
      </c>
      <c r="B89" s="120" t="s">
        <v>352</v>
      </c>
      <c r="C89" s="120" t="s">
        <v>390</v>
      </c>
      <c r="D89" s="120" t="s">
        <v>391</v>
      </c>
      <c r="E89" s="121">
        <v>297000</v>
      </c>
      <c r="F89" s="120">
        <v>1.5</v>
      </c>
      <c r="G89" s="121">
        <f t="shared" si="9"/>
        <v>445500</v>
      </c>
      <c r="H89" s="121">
        <v>750000</v>
      </c>
      <c r="I89" s="121">
        <v>0</v>
      </c>
      <c r="J89" s="121">
        <v>80000</v>
      </c>
      <c r="K89" s="121">
        <v>0</v>
      </c>
      <c r="L89" s="122">
        <f t="shared" si="11"/>
        <v>80000</v>
      </c>
    </row>
    <row r="90" spans="1:12" ht="78.75" x14ac:dyDescent="0.25">
      <c r="A90" s="120" t="s">
        <v>343</v>
      </c>
      <c r="B90" s="120" t="s">
        <v>354</v>
      </c>
      <c r="C90" s="120" t="s">
        <v>355</v>
      </c>
      <c r="D90" s="120" t="s">
        <v>391</v>
      </c>
      <c r="E90" s="121">
        <v>297000</v>
      </c>
      <c r="F90" s="120">
        <v>1</v>
      </c>
      <c r="G90" s="121">
        <f t="shared" si="9"/>
        <v>297000</v>
      </c>
      <c r="H90" s="121">
        <v>0</v>
      </c>
      <c r="I90" s="121">
        <v>20000</v>
      </c>
      <c r="J90" s="121">
        <v>0</v>
      </c>
      <c r="K90" s="121">
        <v>0</v>
      </c>
      <c r="L90" s="122">
        <f t="shared" si="11"/>
        <v>20000</v>
      </c>
    </row>
    <row r="91" spans="1:12" ht="78.75" x14ac:dyDescent="0.25">
      <c r="A91" s="120" t="s">
        <v>343</v>
      </c>
      <c r="B91" s="120" t="s">
        <v>354</v>
      </c>
      <c r="C91" s="120" t="s">
        <v>356</v>
      </c>
      <c r="D91" s="120" t="s">
        <v>391</v>
      </c>
      <c r="E91" s="121">
        <v>297000</v>
      </c>
      <c r="F91" s="120">
        <v>1</v>
      </c>
      <c r="G91" s="121">
        <f t="shared" si="9"/>
        <v>297000</v>
      </c>
      <c r="H91" s="121"/>
      <c r="I91" s="121">
        <v>40000</v>
      </c>
      <c r="J91" s="121">
        <v>0</v>
      </c>
      <c r="K91" s="121">
        <v>0</v>
      </c>
      <c r="L91" s="122">
        <f t="shared" si="11"/>
        <v>40000</v>
      </c>
    </row>
    <row r="92" spans="1:12" ht="78.75" x14ac:dyDescent="0.25">
      <c r="A92" s="120" t="s">
        <v>343</v>
      </c>
      <c r="B92" s="120" t="s">
        <v>399</v>
      </c>
      <c r="C92" s="120" t="s">
        <v>387</v>
      </c>
      <c r="D92" s="120" t="s">
        <v>392</v>
      </c>
      <c r="E92" s="121">
        <v>297000</v>
      </c>
      <c r="F92" s="120">
        <v>2.5</v>
      </c>
      <c r="G92" s="121">
        <f t="shared" si="9"/>
        <v>742500</v>
      </c>
      <c r="H92" s="121">
        <v>750000</v>
      </c>
      <c r="I92" s="121">
        <v>0</v>
      </c>
      <c r="J92" s="121">
        <v>120000</v>
      </c>
      <c r="K92" s="121">
        <v>0</v>
      </c>
      <c r="L92" s="122">
        <f t="shared" si="11"/>
        <v>120000</v>
      </c>
    </row>
    <row r="93" spans="1:12" ht="78.75" x14ac:dyDescent="0.25">
      <c r="A93" s="120" t="s">
        <v>343</v>
      </c>
      <c r="B93" s="120" t="s">
        <v>399</v>
      </c>
      <c r="C93" s="120" t="s">
        <v>367</v>
      </c>
      <c r="D93" s="120" t="s">
        <v>392</v>
      </c>
      <c r="E93" s="121">
        <v>297000</v>
      </c>
      <c r="F93" s="120">
        <v>1</v>
      </c>
      <c r="G93" s="121">
        <f t="shared" si="9"/>
        <v>297000</v>
      </c>
      <c r="H93" s="121">
        <v>0</v>
      </c>
      <c r="I93" s="121">
        <v>50000</v>
      </c>
      <c r="J93" s="121"/>
      <c r="K93" s="121"/>
      <c r="L93" s="122">
        <f t="shared" si="11"/>
        <v>50000</v>
      </c>
    </row>
    <row r="94" spans="1:12" ht="78.75" x14ac:dyDescent="0.25">
      <c r="A94" s="120" t="s">
        <v>343</v>
      </c>
      <c r="B94" s="120" t="s">
        <v>359</v>
      </c>
      <c r="C94" s="120" t="s">
        <v>360</v>
      </c>
      <c r="D94" s="120" t="s">
        <v>393</v>
      </c>
      <c r="E94" s="121">
        <v>297000</v>
      </c>
      <c r="F94" s="120">
        <v>0.5</v>
      </c>
      <c r="G94" s="121">
        <f t="shared" si="6"/>
        <v>148500</v>
      </c>
      <c r="H94" s="121">
        <v>0</v>
      </c>
      <c r="I94" s="121">
        <v>0</v>
      </c>
      <c r="J94" s="121">
        <v>0</v>
      </c>
      <c r="K94" s="121">
        <v>0</v>
      </c>
      <c r="L94" s="122">
        <f t="shared" si="7"/>
        <v>0</v>
      </c>
    </row>
    <row r="95" spans="1:12" ht="78.75" x14ac:dyDescent="0.25">
      <c r="A95" s="120" t="s">
        <v>343</v>
      </c>
      <c r="B95" s="120" t="s">
        <v>361</v>
      </c>
      <c r="C95" s="120" t="s">
        <v>363</v>
      </c>
      <c r="D95" s="120" t="s">
        <v>393</v>
      </c>
      <c r="E95" s="121">
        <v>297000</v>
      </c>
      <c r="F95" s="120">
        <v>0.5</v>
      </c>
      <c r="G95" s="121">
        <f t="shared" si="6"/>
        <v>148500</v>
      </c>
      <c r="H95" s="121">
        <v>0</v>
      </c>
      <c r="I95" s="121">
        <v>14000</v>
      </c>
      <c r="J95" s="121">
        <v>0</v>
      </c>
      <c r="K95" s="121">
        <v>0</v>
      </c>
      <c r="L95" s="122">
        <f t="shared" si="7"/>
        <v>14000</v>
      </c>
    </row>
    <row r="96" spans="1:12" ht="78.75" x14ac:dyDescent="0.25">
      <c r="A96" s="120" t="s">
        <v>343</v>
      </c>
      <c r="B96" s="120" t="s">
        <v>361</v>
      </c>
      <c r="C96" s="120" t="s">
        <v>362</v>
      </c>
      <c r="D96" s="120" t="s">
        <v>393</v>
      </c>
      <c r="E96" s="121">
        <v>297000</v>
      </c>
      <c r="F96" s="120">
        <v>0.5</v>
      </c>
      <c r="G96" s="121">
        <f t="shared" si="6"/>
        <v>148500</v>
      </c>
      <c r="H96" s="121">
        <v>0</v>
      </c>
      <c r="I96" s="121">
        <v>14000</v>
      </c>
      <c r="J96" s="121">
        <v>0</v>
      </c>
      <c r="K96" s="121">
        <v>0</v>
      </c>
      <c r="L96" s="122">
        <f t="shared" si="7"/>
        <v>14000</v>
      </c>
    </row>
    <row r="97" spans="1:12" ht="78.75" x14ac:dyDescent="0.25">
      <c r="A97" s="120" t="s">
        <v>343</v>
      </c>
      <c r="B97" s="120" t="s">
        <v>368</v>
      </c>
      <c r="C97" s="120" t="s">
        <v>369</v>
      </c>
      <c r="D97" s="120" t="s">
        <v>391</v>
      </c>
      <c r="E97" s="121">
        <v>297000</v>
      </c>
      <c r="F97" s="120">
        <v>1.5</v>
      </c>
      <c r="G97" s="121">
        <f t="shared" si="6"/>
        <v>445500</v>
      </c>
      <c r="H97" s="121">
        <v>750000</v>
      </c>
      <c r="I97" s="121">
        <v>0</v>
      </c>
      <c r="J97" s="121">
        <v>80000</v>
      </c>
      <c r="K97" s="121">
        <v>140000</v>
      </c>
      <c r="L97" s="122">
        <f t="shared" si="7"/>
        <v>220000</v>
      </c>
    </row>
    <row r="98" spans="1:12" ht="78.75" x14ac:dyDescent="0.25">
      <c r="A98" s="120" t="s">
        <v>343</v>
      </c>
      <c r="B98" s="120" t="s">
        <v>370</v>
      </c>
      <c r="C98" s="120" t="s">
        <v>300</v>
      </c>
      <c r="D98" s="120" t="s">
        <v>391</v>
      </c>
      <c r="E98" s="121">
        <v>297000</v>
      </c>
      <c r="F98" s="120">
        <v>1</v>
      </c>
      <c r="G98" s="121">
        <f t="shared" ref="G98:G103" si="12">E98*F98</f>
        <v>297000</v>
      </c>
      <c r="H98" s="121">
        <v>0</v>
      </c>
      <c r="I98" s="121">
        <v>0</v>
      </c>
      <c r="J98" s="121">
        <v>0</v>
      </c>
      <c r="K98" s="121">
        <v>0</v>
      </c>
      <c r="L98" s="122">
        <f t="shared" ref="L98:L103" si="13">I98+J98+K98</f>
        <v>0</v>
      </c>
    </row>
    <row r="99" spans="1:12" ht="78.75" x14ac:dyDescent="0.25">
      <c r="A99" s="120" t="s">
        <v>343</v>
      </c>
      <c r="B99" s="120" t="s">
        <v>370</v>
      </c>
      <c r="C99" s="120" t="s">
        <v>371</v>
      </c>
      <c r="D99" s="120" t="s">
        <v>391</v>
      </c>
      <c r="E99" s="121">
        <v>297000</v>
      </c>
      <c r="F99" s="120">
        <v>1</v>
      </c>
      <c r="G99" s="121">
        <f t="shared" si="12"/>
        <v>297000</v>
      </c>
      <c r="H99" s="121">
        <v>0</v>
      </c>
      <c r="I99" s="121">
        <v>0</v>
      </c>
      <c r="J99" s="121">
        <v>0</v>
      </c>
      <c r="K99" s="121">
        <v>0</v>
      </c>
      <c r="L99" s="122">
        <f t="shared" si="13"/>
        <v>0</v>
      </c>
    </row>
    <row r="100" spans="1:12" ht="78.75" x14ac:dyDescent="0.25">
      <c r="A100" s="120" t="s">
        <v>343</v>
      </c>
      <c r="B100" s="120" t="s">
        <v>372</v>
      </c>
      <c r="C100" s="120" t="s">
        <v>373</v>
      </c>
      <c r="D100" s="120" t="s">
        <v>392</v>
      </c>
      <c r="E100" s="121">
        <v>297000</v>
      </c>
      <c r="F100" s="120">
        <v>1.5</v>
      </c>
      <c r="G100" s="121">
        <f t="shared" si="12"/>
        <v>445500</v>
      </c>
      <c r="H100" s="121">
        <v>750000</v>
      </c>
      <c r="I100" s="121"/>
      <c r="J100" s="121">
        <v>120000</v>
      </c>
      <c r="K100" s="121">
        <v>100000</v>
      </c>
      <c r="L100" s="122">
        <f t="shared" si="13"/>
        <v>220000</v>
      </c>
    </row>
    <row r="101" spans="1:12" ht="78.75" x14ac:dyDescent="0.25">
      <c r="A101" s="120" t="s">
        <v>343</v>
      </c>
      <c r="B101" s="120" t="s">
        <v>374</v>
      </c>
      <c r="C101" s="120" t="s">
        <v>367</v>
      </c>
      <c r="D101" s="120" t="s">
        <v>392</v>
      </c>
      <c r="E101" s="121">
        <v>297000</v>
      </c>
      <c r="F101" s="120">
        <v>1</v>
      </c>
      <c r="G101" s="121">
        <f t="shared" si="12"/>
        <v>297000</v>
      </c>
      <c r="H101" s="121">
        <v>0</v>
      </c>
      <c r="I101" s="121">
        <v>80000</v>
      </c>
      <c r="J101" s="121">
        <v>0</v>
      </c>
      <c r="K101" s="121"/>
      <c r="L101" s="122">
        <f t="shared" si="13"/>
        <v>80000</v>
      </c>
    </row>
    <row r="102" spans="1:12" ht="78.75" x14ac:dyDescent="0.25">
      <c r="A102" s="120" t="s">
        <v>343</v>
      </c>
      <c r="B102" s="120" t="s">
        <v>374</v>
      </c>
      <c r="C102" s="120" t="s">
        <v>367</v>
      </c>
      <c r="D102" s="120" t="s">
        <v>392</v>
      </c>
      <c r="E102" s="121">
        <v>297000</v>
      </c>
      <c r="F102" s="120">
        <v>1</v>
      </c>
      <c r="G102" s="121">
        <f t="shared" si="12"/>
        <v>297000</v>
      </c>
      <c r="H102" s="121">
        <v>0</v>
      </c>
      <c r="I102" s="121">
        <v>40000</v>
      </c>
      <c r="J102" s="121">
        <v>0</v>
      </c>
      <c r="K102" s="121"/>
      <c r="L102" s="122">
        <f t="shared" si="13"/>
        <v>40000</v>
      </c>
    </row>
    <row r="103" spans="1:12" ht="78.75" x14ac:dyDescent="0.25">
      <c r="A103" s="120" t="s">
        <v>343</v>
      </c>
      <c r="B103" s="120" t="s">
        <v>388</v>
      </c>
      <c r="C103" s="120" t="s">
        <v>389</v>
      </c>
      <c r="D103" s="120" t="s">
        <v>392</v>
      </c>
      <c r="E103" s="121">
        <v>297000</v>
      </c>
      <c r="F103" s="120">
        <v>3.5</v>
      </c>
      <c r="G103" s="121">
        <f t="shared" si="12"/>
        <v>1039500</v>
      </c>
      <c r="H103" s="121">
        <v>750000</v>
      </c>
      <c r="I103" s="121">
        <v>0</v>
      </c>
      <c r="J103" s="121">
        <v>120000</v>
      </c>
      <c r="K103" s="121">
        <v>0</v>
      </c>
      <c r="L103" s="122">
        <f t="shared" si="13"/>
        <v>120000</v>
      </c>
    </row>
    <row r="104" spans="1:12" ht="30.75" customHeight="1" x14ac:dyDescent="0.25">
      <c r="A104" s="126"/>
      <c r="B104" s="126"/>
      <c r="C104" s="126"/>
      <c r="D104" s="126"/>
      <c r="E104" s="126"/>
      <c r="F104" s="126"/>
      <c r="G104" s="124">
        <f>SUM(G70:G103)</f>
        <v>15444000</v>
      </c>
      <c r="H104" s="124">
        <f t="shared" ref="H104:L104" si="14">SUM(H70:H103)</f>
        <v>9000000</v>
      </c>
      <c r="I104" s="124">
        <f t="shared" si="14"/>
        <v>576000</v>
      </c>
      <c r="J104" s="124">
        <f t="shared" si="14"/>
        <v>1240000</v>
      </c>
      <c r="K104" s="124">
        <f t="shared" si="14"/>
        <v>480000</v>
      </c>
      <c r="L104" s="125">
        <f t="shared" si="14"/>
        <v>2296000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5:H14"/>
  <sheetViews>
    <sheetView workbookViewId="0">
      <selection activeCell="G18" sqref="G18"/>
    </sheetView>
  </sheetViews>
  <sheetFormatPr baseColWidth="10" defaultRowHeight="15" x14ac:dyDescent="0.25"/>
  <cols>
    <col min="1" max="6" width="22.42578125" customWidth="1"/>
    <col min="7" max="7" width="14.7109375" customWidth="1"/>
    <col min="8" max="8" width="12" bestFit="1" customWidth="1"/>
  </cols>
  <sheetData>
    <row r="5" spans="1:8" ht="15.75" x14ac:dyDescent="0.25">
      <c r="A5" s="427" t="s">
        <v>294</v>
      </c>
      <c r="B5" s="427"/>
      <c r="C5" s="427"/>
      <c r="D5" s="427"/>
      <c r="E5" s="427"/>
      <c r="F5" s="427"/>
    </row>
    <row r="6" spans="1:8" ht="63" x14ac:dyDescent="0.25">
      <c r="A6" s="427" t="s">
        <v>295</v>
      </c>
      <c r="B6" s="427"/>
      <c r="C6" s="427"/>
      <c r="D6" s="427"/>
      <c r="E6" s="51" t="s">
        <v>296</v>
      </c>
      <c r="F6" s="52" t="s">
        <v>297</v>
      </c>
      <c r="G6" s="134">
        <v>0.12</v>
      </c>
    </row>
    <row r="7" spans="1:8" ht="15.75" x14ac:dyDescent="0.25">
      <c r="A7" s="53" t="s">
        <v>298</v>
      </c>
      <c r="B7" s="54">
        <v>0</v>
      </c>
      <c r="C7" s="53" t="s">
        <v>299</v>
      </c>
      <c r="D7" s="54">
        <v>1317596</v>
      </c>
      <c r="E7" s="54">
        <v>119503</v>
      </c>
      <c r="F7" s="55">
        <f>E7*1.1</f>
        <v>131453.30000000002</v>
      </c>
      <c r="G7" s="135">
        <f>E7*1.12</f>
        <v>133843.36000000002</v>
      </c>
      <c r="H7" s="133"/>
    </row>
    <row r="8" spans="1:8" ht="15.75" x14ac:dyDescent="0.25">
      <c r="A8" s="53" t="s">
        <v>298</v>
      </c>
      <c r="B8" s="54">
        <v>1317597</v>
      </c>
      <c r="C8" s="53" t="s">
        <v>299</v>
      </c>
      <c r="D8" s="54">
        <v>2070476</v>
      </c>
      <c r="E8" s="54">
        <v>163323</v>
      </c>
      <c r="F8" s="55">
        <f t="shared" ref="F8:F14" si="0">E8*1.1</f>
        <v>179655.30000000002</v>
      </c>
      <c r="G8" s="135">
        <f t="shared" ref="G8:G14" si="1">E8*1.12</f>
        <v>182921.76</v>
      </c>
    </row>
    <row r="9" spans="1:8" ht="15.75" x14ac:dyDescent="0.25">
      <c r="A9" s="53" t="s">
        <v>298</v>
      </c>
      <c r="B9" s="54">
        <v>2070477</v>
      </c>
      <c r="C9" s="53" t="s">
        <v>299</v>
      </c>
      <c r="D9" s="54">
        <v>2764819</v>
      </c>
      <c r="E9" s="54">
        <v>198167</v>
      </c>
      <c r="F9" s="55">
        <f t="shared" si="0"/>
        <v>217983.7</v>
      </c>
      <c r="G9" s="135">
        <f t="shared" si="1"/>
        <v>221947.04</v>
      </c>
    </row>
    <row r="10" spans="1:8" ht="15.75" x14ac:dyDescent="0.25">
      <c r="A10" s="53" t="s">
        <v>298</v>
      </c>
      <c r="B10" s="54">
        <v>2764820</v>
      </c>
      <c r="C10" s="53" t="s">
        <v>299</v>
      </c>
      <c r="D10" s="54">
        <v>3506799</v>
      </c>
      <c r="E10" s="54">
        <v>230588</v>
      </c>
      <c r="F10" s="55">
        <f t="shared" si="0"/>
        <v>253646.80000000002</v>
      </c>
      <c r="G10" s="135">
        <f t="shared" si="1"/>
        <v>258258.56000000003</v>
      </c>
    </row>
    <row r="11" spans="1:8" ht="15.75" x14ac:dyDescent="0.25">
      <c r="A11" s="53" t="s">
        <v>298</v>
      </c>
      <c r="B11" s="54">
        <v>3506800</v>
      </c>
      <c r="C11" s="53" t="s">
        <v>299</v>
      </c>
      <c r="D11" s="54">
        <v>4235186</v>
      </c>
      <c r="E11" s="54">
        <v>264787</v>
      </c>
      <c r="F11" s="55">
        <f t="shared" si="0"/>
        <v>291265.7</v>
      </c>
      <c r="G11" s="135">
        <f t="shared" si="1"/>
        <v>296561.44</v>
      </c>
    </row>
    <row r="12" spans="1:8" ht="15.75" x14ac:dyDescent="0.25">
      <c r="A12" s="53" t="s">
        <v>298</v>
      </c>
      <c r="B12" s="54">
        <v>4235187</v>
      </c>
      <c r="C12" s="53" t="s">
        <v>299</v>
      </c>
      <c r="D12" s="54">
        <v>6387301</v>
      </c>
      <c r="E12" s="54">
        <v>298863</v>
      </c>
      <c r="F12" s="55">
        <f t="shared" si="0"/>
        <v>328749.30000000005</v>
      </c>
      <c r="G12" s="135">
        <f t="shared" si="1"/>
        <v>334726.56000000006</v>
      </c>
    </row>
    <row r="13" spans="1:8" ht="15.75" x14ac:dyDescent="0.25">
      <c r="A13" s="53" t="s">
        <v>298</v>
      </c>
      <c r="B13" s="54">
        <v>6387302</v>
      </c>
      <c r="C13" s="53" t="s">
        <v>299</v>
      </c>
      <c r="D13" s="54">
        <v>8927247</v>
      </c>
      <c r="E13" s="54">
        <v>363014</v>
      </c>
      <c r="F13" s="55">
        <f t="shared" si="0"/>
        <v>399315.4</v>
      </c>
      <c r="G13" s="135">
        <f t="shared" si="1"/>
        <v>406575.68000000005</v>
      </c>
    </row>
    <row r="14" spans="1:8" ht="15.75" x14ac:dyDescent="0.25">
      <c r="A14" s="53" t="s">
        <v>298</v>
      </c>
      <c r="B14" s="54">
        <v>8927248</v>
      </c>
      <c r="C14" s="53" t="s">
        <v>299</v>
      </c>
      <c r="D14" s="54">
        <v>10599866</v>
      </c>
      <c r="E14" s="54">
        <v>489708</v>
      </c>
      <c r="F14" s="55">
        <f t="shared" si="0"/>
        <v>538678.80000000005</v>
      </c>
      <c r="G14" s="135">
        <f t="shared" si="1"/>
        <v>548472.96000000008</v>
      </c>
    </row>
  </sheetData>
  <mergeCells count="2">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ADQUISICIONES  </vt:lpstr>
      <vt:lpstr>COMISIONES</vt:lpstr>
      <vt:lpstr>viàticos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Martha  Gomez</cp:lastModifiedBy>
  <dcterms:created xsi:type="dcterms:W3CDTF">2022-07-29T14:17:19Z</dcterms:created>
  <dcterms:modified xsi:type="dcterms:W3CDTF">2023-07-04T18:45:14Z</dcterms:modified>
</cp:coreProperties>
</file>