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hidePivotFieldList="1"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C17575AF-405B-4BCF-803A-E5BEC818430E}" xr6:coauthVersionLast="36" xr6:coauthVersionMax="36" xr10:uidLastSave="{00000000-0000-0000-0000-000000000000}"/>
  <bookViews>
    <workbookView xWindow="0" yWindow="0" windowWidth="24000" windowHeight="8325" tabRatio="882" xr2:uid="{00000000-000D-0000-FFFF-FFFF00000000}"/>
  </bookViews>
  <sheets>
    <sheet name="Direccionamiento Estrategico" sheetId="24" r:id="rId1"/>
    <sheet name="Comunicaciones " sheetId="23" r:id="rId2"/>
    <sheet name="Asistencia tecnica" sheetId="21" r:id="rId3"/>
    <sheet name="Centro Cultural" sheetId="22" r:id="rId4"/>
    <sheet name="Unidades Productivas" sheetId="34" r:id="rId5"/>
    <sheet name="Producción Radial y Audiovisual" sheetId="32" r:id="rId6"/>
    <sheet name="Gestion Documental" sheetId="28" r:id="rId7"/>
    <sheet name="Servicio al Ciudadano" sheetId="33" r:id="rId8"/>
    <sheet name="Informatica y Tecnologia" sheetId="31" r:id="rId9"/>
    <sheet name="Gestion Contractual" sheetId="27" r:id="rId10"/>
    <sheet name="Gestion Juridica" sheetId="36" r:id="rId11"/>
    <sheet name="Gestion Humana" sheetId="29" r:id="rId12"/>
    <sheet name="Financiero" sheetId="26" r:id="rId13"/>
    <sheet name="Administrativo " sheetId="1" r:id="rId14"/>
    <sheet name="Evaluación y mejoramiento" sheetId="25" r:id="rId15"/>
    <sheet name="Intructivo" sheetId="20" r:id="rId16"/>
    <sheet name="Matriz Calor Inherente" sheetId="18" r:id="rId17"/>
    <sheet name="Matriz Calor Residual" sheetId="19" r:id="rId18"/>
    <sheet name="Tabla probabilidad" sheetId="12" r:id="rId19"/>
    <sheet name="Tabla Impacto" sheetId="13" r:id="rId20"/>
    <sheet name="Tabla Valoración controles" sheetId="15" r:id="rId21"/>
    <sheet name="Opciones Tratamiento" sheetId="16" state="hidden" r:id="rId22"/>
    <sheet name="Hoja1" sheetId="11"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calcPr calcId="191029"/>
  <pivotCaches>
    <pivotCache cacheId="0" r:id="rId38"/>
  </pivotCaches>
</workbook>
</file>

<file path=xl/calcChain.xml><?xml version="1.0" encoding="utf-8"?>
<calcChain xmlns="http://schemas.openxmlformats.org/spreadsheetml/2006/main">
  <c r="T12" i="22" l="1"/>
  <c r="Q12" i="22"/>
  <c r="T12" i="36" l="1"/>
  <c r="Q12" i="36"/>
  <c r="K12" i="36"/>
  <c r="T11" i="36"/>
  <c r="Q11" i="36"/>
  <c r="K11" i="36"/>
  <c r="T10" i="36"/>
  <c r="Q10" i="36"/>
  <c r="H10" i="36"/>
  <c r="I10" i="36" s="1"/>
  <c r="X10" i="36" l="1"/>
  <c r="T13" i="34"/>
  <c r="Q13" i="34"/>
  <c r="G13" i="34"/>
  <c r="H13" i="34" s="1"/>
  <c r="T12" i="34"/>
  <c r="Q12" i="34"/>
  <c r="K12" i="34"/>
  <c r="T11" i="34"/>
  <c r="Q11" i="34"/>
  <c r="K11" i="34"/>
  <c r="T10" i="34"/>
  <c r="Q10" i="34"/>
  <c r="H10" i="34"/>
  <c r="Z10" i="36" l="1"/>
  <c r="X11" i="36" s="1"/>
  <c r="Y10" i="36"/>
  <c r="I13" i="34"/>
  <c r="X13" i="34" s="1"/>
  <c r="I10" i="34"/>
  <c r="X10" i="34" s="1"/>
  <c r="Y11" i="36" l="1"/>
  <c r="Z11" i="36"/>
  <c r="X12" i="36" s="1"/>
  <c r="Z13" i="34"/>
  <c r="Y13" i="34"/>
  <c r="Z10" i="34"/>
  <c r="X11" i="34" s="1"/>
  <c r="Y10" i="34"/>
  <c r="Z12" i="36" l="1"/>
  <c r="Y12" i="36"/>
  <c r="Y11" i="34"/>
  <c r="Z11" i="34"/>
  <c r="X12" i="34" s="1"/>
  <c r="Z12" i="34" l="1"/>
  <c r="Y12" i="34"/>
  <c r="K13" i="34" l="1"/>
  <c r="L13" i="34" s="1"/>
  <c r="K10" i="34"/>
  <c r="L10" i="34" s="1"/>
  <c r="M10" i="34" l="1"/>
  <c r="AB10" i="34" s="1"/>
  <c r="N10" i="34"/>
  <c r="M13" i="34"/>
  <c r="AB13" i="34" s="1"/>
  <c r="AA13" i="34" s="1"/>
  <c r="AC13" i="34" s="1"/>
  <c r="N13" i="34"/>
  <c r="AA10" i="34" l="1"/>
  <c r="AC10" i="34" s="1"/>
  <c r="AB11" i="34"/>
  <c r="AA11" i="34" l="1"/>
  <c r="AC11" i="34" s="1"/>
  <c r="AB12" i="34"/>
  <c r="AA12" i="34" s="1"/>
  <c r="AC12" i="34" s="1"/>
  <c r="T13" i="33" l="1"/>
  <c r="Q13" i="33"/>
  <c r="K13" i="33"/>
  <c r="T12" i="33"/>
  <c r="Q12" i="33"/>
  <c r="K12" i="33"/>
  <c r="T11" i="33"/>
  <c r="Q11" i="33"/>
  <c r="K11" i="33"/>
  <c r="L11" i="33" s="1"/>
  <c r="M11" i="33" s="1"/>
  <c r="G11" i="33"/>
  <c r="H11" i="33" s="1"/>
  <c r="T10" i="33"/>
  <c r="Q10" i="33"/>
  <c r="K10" i="33"/>
  <c r="L10" i="33" s="1"/>
  <c r="M10" i="33" s="1"/>
  <c r="H10" i="33"/>
  <c r="AB10" i="33" l="1"/>
  <c r="AA10" i="33" s="1"/>
  <c r="AB11" i="33"/>
  <c r="AA11" i="33" s="1"/>
  <c r="N10" i="33"/>
  <c r="N11" i="33"/>
  <c r="I11" i="33"/>
  <c r="X11" i="33" s="1"/>
  <c r="I10" i="33"/>
  <c r="X10" i="33" s="1"/>
  <c r="AB12" i="33"/>
  <c r="AA12" i="33" s="1"/>
  <c r="Z10" i="33" l="1"/>
  <c r="Y10" i="33"/>
  <c r="AC10" i="33" s="1"/>
  <c r="AB13" i="33"/>
  <c r="AA13" i="33" s="1"/>
  <c r="Z11" i="33"/>
  <c r="X12" i="33" s="1"/>
  <c r="Y11" i="33"/>
  <c r="AC11" i="33" s="1"/>
  <c r="Y12" i="33" l="1"/>
  <c r="AC12" i="33" s="1"/>
  <c r="Z12" i="33"/>
  <c r="X13" i="33" s="1"/>
  <c r="Z13" i="33" l="1"/>
  <c r="Y13" i="33"/>
  <c r="AC13" i="33" s="1"/>
  <c r="T11" i="32" l="1"/>
  <c r="Q11" i="32"/>
  <c r="K11" i="32"/>
  <c r="T10" i="32"/>
  <c r="Q10" i="32"/>
  <c r="H10" i="32"/>
  <c r="I10" i="32" s="1"/>
  <c r="X10" i="32" l="1"/>
  <c r="Z10" i="32" l="1"/>
  <c r="X11" i="32" s="1"/>
  <c r="Y10" i="32"/>
  <c r="Z11" i="32" l="1"/>
  <c r="Y11" i="32"/>
  <c r="K10" i="32" l="1"/>
  <c r="L10" i="32" s="1"/>
  <c r="M10" i="32" l="1"/>
  <c r="AB10" i="32" s="1"/>
  <c r="N10" i="32"/>
  <c r="AA10" i="32" l="1"/>
  <c r="AC10" i="32" s="1"/>
  <c r="AB11" i="32"/>
  <c r="AA11" i="32" s="1"/>
  <c r="AC11" i="32" s="1"/>
  <c r="T13" i="31" l="1"/>
  <c r="Q13" i="31"/>
  <c r="K13" i="31"/>
  <c r="T12" i="31"/>
  <c r="Q12" i="31"/>
  <c r="K12" i="31"/>
  <c r="T11" i="31"/>
  <c r="Q11" i="31"/>
  <c r="K11" i="31"/>
  <c r="T10" i="31"/>
  <c r="Q10" i="31"/>
  <c r="K10" i="31"/>
  <c r="L10" i="31" s="1"/>
  <c r="M10" i="31" s="1"/>
  <c r="G10" i="31"/>
  <c r="H10" i="31" s="1"/>
  <c r="AB10" i="31" l="1"/>
  <c r="AA10" i="31" s="1"/>
  <c r="N10" i="31"/>
  <c r="I10" i="31"/>
  <c r="X10" i="31" s="1"/>
  <c r="AB11" i="31" l="1"/>
  <c r="AA11" i="31" s="1"/>
  <c r="Z10" i="31"/>
  <c r="X11" i="31" s="1"/>
  <c r="Y10" i="31"/>
  <c r="AC10" i="31" s="1"/>
  <c r="AB12" i="31" l="1"/>
  <c r="AA12" i="31" s="1"/>
  <c r="Z11" i="31"/>
  <c r="X12" i="31" s="1"/>
  <c r="Y11" i="31"/>
  <c r="AC11" i="31" s="1"/>
  <c r="AB13" i="31" l="1"/>
  <c r="AA13" i="31" s="1"/>
  <c r="Y12" i="31"/>
  <c r="AC12" i="31" s="1"/>
  <c r="Z12" i="31"/>
  <c r="X13" i="31" s="1"/>
  <c r="Z13" i="31" l="1"/>
  <c r="Y13" i="31"/>
  <c r="AC13" i="31" s="1"/>
  <c r="T11" i="29" l="1"/>
  <c r="Q11" i="29"/>
  <c r="K11" i="29"/>
  <c r="L11" i="29" s="1"/>
  <c r="M11" i="29" s="1"/>
  <c r="AB11" i="29" s="1"/>
  <c r="AA11" i="29" s="1"/>
  <c r="H11" i="29"/>
  <c r="T10" i="29"/>
  <c r="Q10" i="29"/>
  <c r="K10" i="29"/>
  <c r="L10" i="29" s="1"/>
  <c r="M10" i="29" s="1"/>
  <c r="H10" i="29"/>
  <c r="AB10" i="29" l="1"/>
  <c r="AA10" i="29" s="1"/>
  <c r="N10" i="29"/>
  <c r="I10" i="29"/>
  <c r="X10" i="29" s="1"/>
  <c r="N11" i="29"/>
  <c r="I11" i="29"/>
  <c r="X11" i="29" s="1"/>
  <c r="Y11" i="29" l="1"/>
  <c r="AC11" i="29" s="1"/>
  <c r="Z11" i="29"/>
  <c r="Z10" i="29"/>
  <c r="Y10" i="29"/>
  <c r="AC10" i="29" s="1"/>
  <c r="T12" i="28" l="1"/>
  <c r="Q12" i="28"/>
  <c r="K12" i="28"/>
  <c r="T11" i="28"/>
  <c r="Q11" i="28"/>
  <c r="K11" i="28"/>
  <c r="T10" i="28"/>
  <c r="Q10" i="28"/>
  <c r="G10" i="28"/>
  <c r="H10" i="28" s="1"/>
  <c r="I10" i="28" l="1"/>
  <c r="X10" i="28" s="1"/>
  <c r="Y10" i="28" l="1"/>
  <c r="Z10" i="28"/>
  <c r="X11" i="28" s="1"/>
  <c r="Z11" i="28" l="1"/>
  <c r="X12" i="28" s="1"/>
  <c r="Y11" i="28"/>
  <c r="Z12" i="28" l="1"/>
  <c r="Y12" i="28"/>
  <c r="K10" i="28" l="1"/>
  <c r="L10" i="28" s="1"/>
  <c r="M10" i="28" l="1"/>
  <c r="AB10" i="28" s="1"/>
  <c r="N10" i="28"/>
  <c r="AA10" i="28" l="1"/>
  <c r="AC10" i="28" s="1"/>
  <c r="AB11" i="28"/>
  <c r="AA11" i="28" l="1"/>
  <c r="AC11" i="28" s="1"/>
  <c r="AB12" i="28"/>
  <c r="AA12" i="28" s="1"/>
  <c r="AC12" i="28" s="1"/>
  <c r="H10" i="27" l="1"/>
  <c r="I10" i="27" s="1"/>
  <c r="Q10" i="27"/>
  <c r="T10" i="27"/>
  <c r="K11" i="27"/>
  <c r="Q11" i="27"/>
  <c r="T11" i="27"/>
  <c r="X10" i="27" l="1"/>
  <c r="Y10" i="27" l="1"/>
  <c r="Z10" i="27"/>
  <c r="X11" i="27" s="1"/>
  <c r="Y11" i="27" l="1"/>
  <c r="Z11" i="27"/>
  <c r="K10" i="27" l="1"/>
  <c r="L10" i="27" s="1"/>
  <c r="M10" i="27" l="1"/>
  <c r="AB10" i="27" s="1"/>
  <c r="N10" i="27"/>
  <c r="AA10" i="27" l="1"/>
  <c r="AC10" i="27" s="1"/>
  <c r="AB11" i="27"/>
  <c r="AA11" i="27" s="1"/>
  <c r="AC11" i="27" s="1"/>
  <c r="T11" i="26" l="1"/>
  <c r="Q11" i="26"/>
  <c r="K11" i="26"/>
  <c r="T10" i="26"/>
  <c r="Q10" i="26"/>
  <c r="H10" i="26"/>
  <c r="AB11" i="26" l="1"/>
  <c r="AA11" i="26" s="1"/>
  <c r="I10" i="26"/>
  <c r="X10" i="26" s="1"/>
  <c r="Z10" i="26" l="1"/>
  <c r="Y10" i="26"/>
  <c r="X11" i="26" l="1"/>
  <c r="Y11" i="26" l="1"/>
  <c r="AC11" i="26" s="1"/>
  <c r="Z11" i="26"/>
  <c r="K10" i="26"/>
  <c r="L10" i="26" s="1"/>
  <c r="M10" i="26" l="1"/>
  <c r="AB10" i="26" s="1"/>
  <c r="N10" i="26"/>
  <c r="AA10" i="26" l="1"/>
  <c r="AC10" i="26" s="1"/>
  <c r="T15" i="25" l="1"/>
  <c r="Q15" i="25"/>
  <c r="K15" i="25"/>
  <c r="T14" i="25"/>
  <c r="Q14" i="25"/>
  <c r="K14" i="25"/>
  <c r="T13" i="25"/>
  <c r="Q13" i="25"/>
  <c r="K13" i="25"/>
  <c r="T12" i="25"/>
  <c r="Q12" i="25"/>
  <c r="K12" i="25"/>
  <c r="L12" i="25" s="1"/>
  <c r="M12" i="25" s="1"/>
  <c r="H12" i="25"/>
  <c r="T11" i="25"/>
  <c r="Q11" i="25"/>
  <c r="K11" i="25"/>
  <c r="T10" i="25"/>
  <c r="Q10" i="25"/>
  <c r="K10" i="25"/>
  <c r="L10" i="25" s="1"/>
  <c r="M10" i="25" s="1"/>
  <c r="AB10" i="25" s="1"/>
  <c r="H10" i="25"/>
  <c r="AB12" i="25" l="1"/>
  <c r="AA12" i="25" s="1"/>
  <c r="N10" i="25"/>
  <c r="N12" i="25"/>
  <c r="AA10" i="25"/>
  <c r="AB13" i="25"/>
  <c r="AA13" i="25" s="1"/>
  <c r="AB11" i="25"/>
  <c r="AA11" i="25" s="1"/>
  <c r="I12" i="25"/>
  <c r="X12" i="25" s="1"/>
  <c r="I10" i="25"/>
  <c r="X10" i="25" s="1"/>
  <c r="AB14" i="25" l="1"/>
  <c r="Z10" i="25"/>
  <c r="X11" i="25" s="1"/>
  <c r="Y10" i="25"/>
  <c r="AC10" i="25" s="1"/>
  <c r="Z12" i="25"/>
  <c r="X13" i="25" s="1"/>
  <c r="Y12" i="25"/>
  <c r="AC12" i="25" s="1"/>
  <c r="AA14" i="25" l="1"/>
  <c r="AB15" i="25"/>
  <c r="AA15" i="25" s="1"/>
  <c r="Z13" i="25"/>
  <c r="X14" i="25" s="1"/>
  <c r="Y13" i="25"/>
  <c r="AC13" i="25" s="1"/>
  <c r="Y11" i="25"/>
  <c r="AC11" i="25" s="1"/>
  <c r="Z11" i="25"/>
  <c r="Y14" i="25" l="1"/>
  <c r="AC14" i="25" s="1"/>
  <c r="Z14" i="25"/>
  <c r="X15" i="25" s="1"/>
  <c r="Z15" i="25" l="1"/>
  <c r="Y15" i="25"/>
  <c r="AC15" i="25" s="1"/>
  <c r="T12" i="24" l="1"/>
  <c r="Q12" i="24"/>
  <c r="K12" i="24"/>
  <c r="T11" i="24"/>
  <c r="Q11" i="24"/>
  <c r="K11" i="24"/>
  <c r="T10" i="24"/>
  <c r="Q10" i="24"/>
  <c r="G10" i="24"/>
  <c r="H10" i="24" s="1"/>
  <c r="I10" i="24" l="1"/>
  <c r="X10" i="24" s="1"/>
  <c r="Y10" i="24" l="1"/>
  <c r="Z10" i="24"/>
  <c r="X11" i="24" s="1"/>
  <c r="Y11" i="24" l="1"/>
  <c r="Z11" i="24"/>
  <c r="X12" i="24" s="1"/>
  <c r="Z12" i="24" l="1"/>
  <c r="Y12" i="24"/>
  <c r="K10" i="24" l="1"/>
  <c r="L10" i="24" s="1"/>
  <c r="M10" i="24" l="1"/>
  <c r="AB10" i="24" s="1"/>
  <c r="N10" i="24"/>
  <c r="AB12" i="24" l="1"/>
  <c r="AA12" i="24" s="1"/>
  <c r="AC12" i="24" s="1"/>
  <c r="AA10" i="24"/>
  <c r="AC10" i="24" s="1"/>
  <c r="AB11" i="24"/>
  <c r="AA11" i="24" s="1"/>
  <c r="AC11" i="24" s="1"/>
  <c r="H10" i="23" l="1"/>
  <c r="I10" i="23" s="1"/>
  <c r="K10" i="23"/>
  <c r="L10" i="23" s="1"/>
  <c r="M10" i="23" s="1"/>
  <c r="Q10" i="23"/>
  <c r="T10" i="23"/>
  <c r="K11" i="23"/>
  <c r="Q11" i="23"/>
  <c r="T11" i="23"/>
  <c r="X10" i="23" l="1"/>
  <c r="AB10" i="23"/>
  <c r="AA10" i="23" s="1"/>
  <c r="N10" i="23"/>
  <c r="Y10" i="23" l="1"/>
  <c r="AC10" i="23" s="1"/>
  <c r="Z10" i="23"/>
  <c r="X11" i="23" s="1"/>
  <c r="AB11" i="23"/>
  <c r="AA11" i="23" s="1"/>
  <c r="Z11" i="23" l="1"/>
  <c r="Y11" i="23"/>
  <c r="AC11" i="23" s="1"/>
  <c r="K12" i="22" l="1"/>
  <c r="T11" i="22"/>
  <c r="Q11" i="22"/>
  <c r="K11" i="22"/>
  <c r="T10" i="22"/>
  <c r="Q10" i="22"/>
  <c r="G10" i="22"/>
  <c r="H10" i="22" s="1"/>
  <c r="I10" i="22" s="1"/>
  <c r="X11" i="22" l="1"/>
  <c r="Y11" i="22" s="1"/>
  <c r="X10" i="22"/>
  <c r="Z11" i="22" l="1"/>
  <c r="X12" i="22" s="1"/>
  <c r="Y12" i="22" s="1"/>
  <c r="Z10" i="22"/>
  <c r="Y10" i="22"/>
  <c r="Z12" i="22" l="1"/>
  <c r="K10" i="22"/>
  <c r="L10" i="22" s="1"/>
  <c r="M10" i="22" l="1"/>
  <c r="AB10" i="22" s="1"/>
  <c r="N10" i="22"/>
  <c r="AA10" i="22" l="1"/>
  <c r="AC10" i="22" s="1"/>
  <c r="AB11" i="22"/>
  <c r="AA11" i="22" l="1"/>
  <c r="AC11" i="22" s="1"/>
  <c r="AB12" i="22"/>
  <c r="AA12" i="22" l="1"/>
  <c r="AC12" i="22" s="1"/>
  <c r="G10" i="21" l="1"/>
  <c r="H10" i="21" s="1"/>
  <c r="Q10" i="21"/>
  <c r="T10" i="21"/>
  <c r="K11" i="21"/>
  <c r="Q11" i="21"/>
  <c r="T11" i="21"/>
  <c r="I10" i="21" l="1"/>
  <c r="X10" i="21" s="1"/>
  <c r="Y10" i="21" l="1"/>
  <c r="Z10" i="21"/>
  <c r="X11" i="21" s="1"/>
  <c r="Z11" i="21" l="1"/>
  <c r="Y11" i="21"/>
  <c r="K10" i="21" l="1"/>
  <c r="L10" i="21" s="1"/>
  <c r="M10" i="21" l="1"/>
  <c r="AB10" i="21" s="1"/>
  <c r="N10" i="21"/>
  <c r="AA10" i="21" l="1"/>
  <c r="AC10" i="21" s="1"/>
  <c r="AB11" i="21"/>
  <c r="AA11" i="21" s="1"/>
  <c r="AC11" i="21" s="1"/>
  <c r="H10" i="1"/>
  <c r="I10" i="1" s="1"/>
  <c r="T10" i="1"/>
  <c r="Q10" i="1"/>
  <c r="F221" i="13" l="1"/>
  <c r="F211" i="13"/>
  <c r="F212" i="13"/>
  <c r="F213" i="13"/>
  <c r="F214" i="13"/>
  <c r="F215" i="13"/>
  <c r="F216" i="13"/>
  <c r="F217" i="13"/>
  <c r="F218" i="13"/>
  <c r="F219" i="13"/>
  <c r="F220" i="13"/>
  <c r="F210" i="13"/>
  <c r="B221" i="13" a="1"/>
  <c r="K11"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1" i="1"/>
  <c r="X10" i="1" l="1"/>
  <c r="Y10" i="1" s="1"/>
  <c r="Q11" i="1" l="1"/>
  <c r="Z10" i="1" l="1"/>
  <c r="X11" i="1" s="1"/>
  <c r="Y11" i="1" l="1"/>
  <c r="Z11" i="1" l="1"/>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45" i="19" l="1"/>
  <c r="AK42" i="19"/>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K35" i="19"/>
  <c r="AC25" i="19"/>
  <c r="AI45" i="19"/>
  <c r="W45" i="19"/>
  <c r="Q35" i="19"/>
  <c r="AC15" i="19"/>
  <c r="Q15" i="19"/>
  <c r="AC35" i="19"/>
  <c r="Q55" i="19"/>
  <c r="AI25" i="19"/>
  <c r="W15" i="19"/>
  <c r="K15" i="19"/>
  <c r="W25" i="19"/>
  <c r="Q25" i="19"/>
  <c r="W55" i="19"/>
  <c r="K2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Q45" i="19" l="1"/>
  <c r="AC45" i="19"/>
  <c r="AC55" i="19"/>
  <c r="AI35" i="19"/>
  <c r="K55" i="19"/>
  <c r="M55" i="19"/>
  <c r="M12" i="19"/>
  <c r="AE12" i="19"/>
  <c r="S52" i="19"/>
  <c r="AE52" i="19"/>
  <c r="AE22" i="19"/>
  <c r="Y12" i="19"/>
  <c r="M22" i="19"/>
  <c r="S22" i="19"/>
  <c r="M32" i="19"/>
  <c r="Y32" i="19"/>
  <c r="AK52" i="19"/>
  <c r="AK12" i="19"/>
  <c r="M52" i="19"/>
  <c r="AK22" i="19"/>
  <c r="AE42" i="19"/>
  <c r="S32" i="19"/>
  <c r="Y52" i="19"/>
  <c r="AE32" i="19"/>
  <c r="S42" i="19"/>
  <c r="M42" i="19"/>
  <c r="AK32" i="19"/>
  <c r="Y22" i="19"/>
  <c r="Y42" i="19"/>
  <c r="S12"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E35" i="19" l="1"/>
  <c r="AE45" i="19"/>
  <c r="AK25" i="19"/>
  <c r="M25" i="19"/>
  <c r="AE55" i="19"/>
  <c r="Y25" i="19"/>
  <c r="AE25" i="19"/>
  <c r="M35" i="19"/>
  <c r="S55" i="19"/>
  <c r="AK55" i="19"/>
  <c r="AK35" i="19"/>
  <c r="M15" i="19"/>
  <c r="AK15" i="19"/>
  <c r="Y55" i="19"/>
  <c r="AE15" i="19"/>
  <c r="M45" i="19"/>
  <c r="Y15" i="19"/>
  <c r="S45" i="19"/>
  <c r="S15" i="19"/>
  <c r="Y45" i="19"/>
  <c r="S25" i="19"/>
  <c r="AK45" i="19"/>
  <c r="S35" i="19"/>
  <c r="Y35" i="19"/>
  <c r="R15" i="19"/>
  <c r="AJ15" i="19"/>
  <c r="R55" i="19"/>
  <c r="L15" i="19"/>
  <c r="AD25" i="19"/>
  <c r="AJ25" i="19"/>
  <c r="AD15" i="19"/>
  <c r="AJ35" i="19"/>
  <c r="AJ55" i="19"/>
  <c r="X55" i="19"/>
  <c r="L45" i="19"/>
  <c r="X35" i="19"/>
  <c r="AD35" i="19"/>
  <c r="X25" i="19"/>
  <c r="R25" i="19"/>
  <c r="AD55" i="19"/>
  <c r="X45" i="19"/>
  <c r="X15" i="19"/>
  <c r="L35" i="19"/>
  <c r="L25" i="19"/>
  <c r="R35" i="19"/>
  <c r="AJ45" i="19"/>
  <c r="L55" i="19"/>
  <c r="AD45" i="19"/>
  <c r="R45" i="19"/>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AF26" i="18" l="1"/>
  <c r="N34" i="18"/>
  <c r="Z10" i="18"/>
  <c r="N18" i="18"/>
  <c r="AF10" i="18"/>
  <c r="T26" i="18"/>
  <c r="AF18" i="18"/>
  <c r="Z26" i="18"/>
  <c r="AL34" i="18"/>
  <c r="AF42" i="18"/>
  <c r="N26" i="18"/>
  <c r="T34" i="18"/>
  <c r="AL18" i="18"/>
  <c r="T42" i="18"/>
  <c r="N10" i="18"/>
  <c r="Z34" i="18"/>
  <c r="Z42" i="18"/>
  <c r="T18" i="18"/>
  <c r="AF34" i="18"/>
  <c r="Z18" i="18"/>
  <c r="AL26" i="18"/>
  <c r="N42" i="18"/>
  <c r="AL42" i="18"/>
  <c r="AL10" i="18"/>
  <c r="T10" i="18"/>
  <c r="P16" i="18"/>
  <c r="AH16" i="18"/>
  <c r="P40" i="18"/>
  <c r="V16" i="18"/>
  <c r="V32" i="18"/>
  <c r="J40" i="18"/>
  <c r="V8" i="18"/>
  <c r="AB16" i="18"/>
  <c r="AH24" i="18"/>
  <c r="V40" i="18"/>
  <c r="AH8" i="18"/>
  <c r="AH40" i="18"/>
  <c r="J16" i="18"/>
  <c r="P32" i="18"/>
  <c r="V24" i="18"/>
  <c r="P24" i="18"/>
  <c r="J32" i="18"/>
  <c r="AH32" i="18"/>
  <c r="J8" i="18"/>
  <c r="AB32" i="18"/>
  <c r="AB8" i="18"/>
  <c r="J24" i="18"/>
  <c r="P8" i="18"/>
  <c r="AB40" i="18"/>
  <c r="AB24" i="18"/>
  <c r="AJ26" i="18"/>
  <c r="R18" i="18"/>
  <c r="X34" i="18"/>
  <c r="AJ10" i="18"/>
  <c r="AD26" i="18"/>
  <c r="AD42" i="18"/>
  <c r="X42" i="18"/>
  <c r="AD34" i="18"/>
  <c r="AD10" i="18"/>
  <c r="AJ34" i="18"/>
  <c r="X10" i="18"/>
  <c r="R26" i="18"/>
  <c r="AD18" i="18"/>
  <c r="L10" i="18"/>
  <c r="L18" i="18"/>
  <c r="R34" i="18"/>
  <c r="L34" i="18"/>
  <c r="AJ42" i="18"/>
  <c r="R10" i="18"/>
  <c r="L26" i="18"/>
  <c r="L42" i="18"/>
  <c r="R42" i="18"/>
  <c r="AJ18" i="18"/>
  <c r="X18" i="18"/>
  <c r="X26" i="18"/>
  <c r="AH20" i="18"/>
  <c r="AB20" i="18"/>
  <c r="P44" i="18"/>
  <c r="J28" i="18"/>
  <c r="AB12" i="18"/>
  <c r="P20" i="18"/>
  <c r="AH12" i="18"/>
  <c r="J20" i="18"/>
  <c r="J44" i="18"/>
  <c r="AB28" i="18"/>
  <c r="AB36" i="18"/>
  <c r="P36" i="18"/>
  <c r="J12" i="18"/>
  <c r="AB44" i="18"/>
  <c r="AH36" i="18"/>
  <c r="V44" i="18"/>
  <c r="J36" i="18"/>
  <c r="V12" i="18"/>
  <c r="V28" i="18"/>
  <c r="AH44" i="18"/>
  <c r="P28" i="18"/>
  <c r="P12" i="18"/>
  <c r="AH28" i="18"/>
  <c r="V20" i="18"/>
  <c r="V36" i="18"/>
  <c r="AB38" i="18"/>
  <c r="AB22" i="18"/>
  <c r="P22" i="18"/>
  <c r="V30" i="18"/>
  <c r="AB30" i="18"/>
  <c r="AB14" i="18"/>
  <c r="M10" i="1"/>
  <c r="AB10" i="1" s="1"/>
  <c r="AH30" i="18"/>
  <c r="J30" i="18"/>
  <c r="J22" i="18"/>
  <c r="P38" i="18"/>
  <c r="V38" i="18"/>
  <c r="AB6" i="18"/>
  <c r="N10" i="1"/>
  <c r="AH14" i="18"/>
  <c r="AH38" i="18"/>
  <c r="J14" i="18"/>
  <c r="P30" i="18"/>
  <c r="P14" i="18"/>
  <c r="V14" i="18"/>
  <c r="J38" i="18"/>
  <c r="AH6" i="18"/>
  <c r="V6" i="18"/>
  <c r="J6" i="18"/>
  <c r="AH22" i="18"/>
  <c r="P6" i="18"/>
  <c r="V22" i="18"/>
  <c r="AF22" i="18"/>
  <c r="Z6" i="18"/>
  <c r="N6" i="18"/>
  <c r="AF6" i="18"/>
  <c r="AF14" i="18"/>
  <c r="AF38" i="18"/>
  <c r="T14" i="18"/>
  <c r="AL38" i="18"/>
  <c r="T30" i="18"/>
  <c r="N38" i="18"/>
  <c r="AL30" i="18"/>
  <c r="Z30" i="18"/>
  <c r="AL22" i="18"/>
  <c r="N30" i="18"/>
  <c r="T6" i="18"/>
  <c r="AF30" i="18"/>
  <c r="Z22" i="18"/>
  <c r="N14" i="18"/>
  <c r="T22" i="18"/>
  <c r="N22" i="18"/>
  <c r="Z38" i="18"/>
  <c r="Z14" i="18"/>
  <c r="T38" i="18"/>
  <c r="AL14" i="18"/>
  <c r="AL6" i="18"/>
  <c r="AH42" i="18"/>
  <c r="V18" i="18"/>
  <c r="AB26" i="18"/>
  <c r="AB34" i="18"/>
  <c r="AH26" i="18"/>
  <c r="AB42" i="18"/>
  <c r="V26" i="18"/>
  <c r="AH18" i="18"/>
  <c r="V42" i="18"/>
  <c r="J34" i="18"/>
  <c r="P26" i="18"/>
  <c r="J10" i="18"/>
  <c r="V10" i="18"/>
  <c r="AH34" i="18"/>
  <c r="P10" i="18"/>
  <c r="V34" i="18"/>
  <c r="P42" i="18"/>
  <c r="J26" i="18"/>
  <c r="P18" i="18"/>
  <c r="J42" i="18"/>
  <c r="AB18" i="18"/>
  <c r="AB10" i="18"/>
  <c r="J18" i="18"/>
  <c r="AH10" i="18"/>
  <c r="P34" i="18"/>
  <c r="AD38" i="18"/>
  <c r="L14" i="18"/>
  <c r="AD6" i="18"/>
  <c r="AD22" i="18"/>
  <c r="X38" i="18"/>
  <c r="L30" i="18"/>
  <c r="L22" i="18"/>
  <c r="R38" i="18"/>
  <c r="R6" i="18"/>
  <c r="AJ14" i="18"/>
  <c r="X14" i="18"/>
  <c r="R14" i="18"/>
  <c r="L6" i="18"/>
  <c r="R30" i="18"/>
  <c r="X22" i="18"/>
  <c r="AJ6" i="18"/>
  <c r="AD14" i="18"/>
  <c r="X6" i="18"/>
  <c r="R22" i="18"/>
  <c r="AD30" i="18"/>
  <c r="AJ38" i="18"/>
  <c r="AJ22" i="18"/>
  <c r="X30" i="18"/>
  <c r="L38" i="18"/>
  <c r="AJ30" i="18"/>
  <c r="AD32" i="18"/>
  <c r="AJ32" i="18"/>
  <c r="AD24" i="18"/>
  <c r="AD8" i="18"/>
  <c r="L24" i="18"/>
  <c r="X40" i="18"/>
  <c r="X24" i="18"/>
  <c r="L16" i="18"/>
  <c r="R24" i="18"/>
  <c r="L8" i="18"/>
  <c r="AJ8" i="18"/>
  <c r="AJ24" i="18"/>
  <c r="L32" i="18"/>
  <c r="AD16" i="18"/>
  <c r="X8" i="18"/>
  <c r="R40" i="18"/>
  <c r="L40" i="18"/>
  <c r="X16" i="18"/>
  <c r="AJ16" i="18"/>
  <c r="R32" i="18"/>
  <c r="AD40" i="18"/>
  <c r="X32" i="18"/>
  <c r="R16" i="18"/>
  <c r="R8" i="18"/>
  <c r="AJ40" i="18"/>
  <c r="AL40" i="18"/>
  <c r="Z16" i="18"/>
  <c r="T8" i="18"/>
  <c r="T24" i="18"/>
  <c r="AF16" i="18"/>
  <c r="AL24" i="18"/>
  <c r="Z32" i="18"/>
  <c r="N8" i="18"/>
  <c r="N32" i="18"/>
  <c r="N16" i="18"/>
  <c r="Z8" i="18"/>
  <c r="Z40" i="18"/>
  <c r="AL8" i="18"/>
  <c r="AF8" i="18"/>
  <c r="N40" i="18"/>
  <c r="AL16" i="18"/>
  <c r="AF24" i="18"/>
  <c r="T40" i="18"/>
  <c r="N24" i="18"/>
  <c r="T32" i="18"/>
  <c r="T16" i="18"/>
  <c r="AF40" i="18"/>
  <c r="AL32" i="18"/>
  <c r="Z24" i="18"/>
  <c r="AF32" i="18"/>
  <c r="AB11" i="1" l="1"/>
  <c r="AA10" i="1"/>
  <c r="V25" i="19"/>
  <c r="AH15" i="19"/>
  <c r="V45" i="19"/>
  <c r="V35" i="19"/>
  <c r="J15" i="19"/>
  <c r="J55" i="19"/>
  <c r="AB45" i="19"/>
  <c r="AH25" i="19"/>
  <c r="AB55" i="19"/>
  <c r="AH55" i="19"/>
  <c r="AB15" i="19"/>
  <c r="AB25" i="19"/>
  <c r="P15" i="19"/>
  <c r="P45" i="19"/>
  <c r="J45" i="19"/>
  <c r="V15" i="19"/>
  <c r="P25" i="19"/>
  <c r="J35" i="19"/>
  <c r="P35" i="19"/>
  <c r="AH45" i="19"/>
  <c r="AH35" i="19"/>
  <c r="J25" i="19"/>
  <c r="V55" i="19"/>
  <c r="AB35" i="19"/>
  <c r="P55" i="19"/>
  <c r="P16" i="19" l="1"/>
  <c r="V26" i="19"/>
  <c r="P6" i="19"/>
  <c r="AH36" i="19"/>
  <c r="AH6" i="19"/>
  <c r="P26" i="19"/>
  <c r="V46" i="19"/>
  <c r="V16" i="19"/>
  <c r="AH46" i="19"/>
  <c r="V36" i="19"/>
  <c r="AB46" i="19"/>
  <c r="AC10" i="1"/>
  <c r="AB36" i="19"/>
  <c r="J6" i="19"/>
  <c r="AB6" i="19"/>
  <c r="P46" i="19"/>
  <c r="P36" i="19"/>
  <c r="AB26" i="19"/>
  <c r="J36" i="19"/>
  <c r="AH16" i="19"/>
  <c r="AB16" i="19"/>
  <c r="J26" i="19"/>
  <c r="AH26" i="19"/>
  <c r="V6" i="19"/>
  <c r="J16" i="19"/>
  <c r="J46" i="19"/>
  <c r="AA11" i="1"/>
  <c r="AC11" i="1" l="1"/>
  <c r="W36" i="19"/>
  <c r="Q6" i="19"/>
  <c r="AC36" i="19"/>
  <c r="K6" i="19"/>
  <c r="K16" i="19"/>
  <c r="Q16" i="19"/>
  <c r="AI36" i="19"/>
  <c r="Q26" i="19"/>
  <c r="AI6" i="19"/>
  <c r="K46" i="19"/>
  <c r="AI16" i="19"/>
  <c r="AI46" i="19"/>
  <c r="Q36" i="19"/>
  <c r="AC46" i="19"/>
  <c r="W6" i="19"/>
  <c r="W16" i="19"/>
  <c r="AI26" i="19"/>
  <c r="K36" i="19"/>
  <c r="AC6" i="19"/>
  <c r="W26" i="19"/>
  <c r="Q46" i="19"/>
  <c r="K26" i="19"/>
  <c r="AC26" i="19"/>
  <c r="W46" i="19"/>
  <c r="AC16" i="19"/>
  <c r="L36" i="19"/>
  <c r="X6" i="19"/>
  <c r="AJ6" i="19"/>
  <c r="L16" i="19"/>
  <c r="X26" i="19"/>
  <c r="L6" i="19"/>
  <c r="AJ46" i="19"/>
  <c r="R46" i="19"/>
  <c r="R26" i="19"/>
  <c r="R6" i="19"/>
  <c r="AD6" i="19"/>
  <c r="X16" i="19"/>
  <c r="R36" i="19"/>
  <c r="AD36" i="19"/>
  <c r="AD16" i="19"/>
  <c r="AJ36" i="19"/>
  <c r="L26" i="19"/>
  <c r="X36" i="19"/>
  <c r="AD46" i="19"/>
  <c r="L46" i="19"/>
  <c r="AD26" i="19"/>
  <c r="X46" i="19"/>
  <c r="AJ16" i="19"/>
  <c r="AJ26" i="19"/>
  <c r="R16" i="19"/>
  <c r="K10" i="36" l="1"/>
  <c r="L10" i="36" s="1"/>
  <c r="M10" i="36" l="1"/>
  <c r="AB10" i="36" s="1"/>
  <c r="N10" i="36"/>
  <c r="AA10" i="36" l="1"/>
  <c r="AC10" i="36" s="1"/>
  <c r="AB11" i="36"/>
  <c r="AA11" i="36" s="1"/>
  <c r="AC11" i="36" s="1"/>
  <c r="AB12" i="36"/>
  <c r="AA12" i="36" s="1"/>
  <c r="AC12" i="36" s="1"/>
</calcChain>
</file>

<file path=xl/sharedStrings.xml><?xml version="1.0" encoding="utf-8"?>
<sst xmlns="http://schemas.openxmlformats.org/spreadsheetml/2006/main" count="1692" uniqueCount="482">
  <si>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</si>
  <si>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</si>
  <si>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</si>
  <si>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</si>
  <si>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</si>
  <si>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</si>
  <si>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</si>
  <si>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</si>
  <si>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</si>
  <si>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</si>
  <si>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</si>
  <si>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</si>
  <si>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</si>
  <si>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</si>
  <si>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</si>
  <si>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</si>
  <si>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</si>
  <si>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</si>
  <si>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</si>
  <si>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</si>
  <si>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</si>
  <si>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</si>
  <si>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</si>
  <si>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</si>
  <si>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</si>
  <si>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</si>
  <si>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</si>
  <si>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</si>
  <si>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</si>
  <si>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</si>
  <si>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</si>
  <si>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</si>
  <si>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</si>
  <si>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</si>
  <si>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</si>
  <si>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</si>
  <si>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</si>
  <si>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</si>
  <si>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</si>
  <si>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</si>
  <si>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</si>
  <si>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</si>
  <si>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</si>
  <si>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</si>
  <si>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</si>
  <si>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</si>
  <si>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</si>
  <si>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</si>
  <si>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</si>
  <si>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</si>
  <si>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</si>
  <si>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</si>
  <si>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</si>
  <si>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</si>
  <si>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</si>
  <si>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</si>
  <si>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</si>
  <si>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</si>
  <si>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</si>
  <si>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</si>
  <si>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Formato Mapa Riesgos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</si>
  <si>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</si>
  <si>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</si>
  <si>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</si>
  <si>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</si>
  <si>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</si>
  <si>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</si>
  <si>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</si>
  <si>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</si>
  <si>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</si>
  <si>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</si>
  <si>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</si>
  <si>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</si>
  <si>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</si>
  <si>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</si>
  <si>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</si>
  <si>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</si>
  <si>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</si>
  <si>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</si>
  <si>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</si>
  <si>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</si>
  <si>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</si>
  <si>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</si>
  <si>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Tipo</t>
  </si>
  <si>
    <t>Implementación</t>
  </si>
  <si>
    <t>Calificación</t>
  </si>
  <si>
    <t>Documentación</t>
  </si>
  <si>
    <t>Frecuencia</t>
  </si>
  <si>
    <t>Evidencia</t>
  </si>
  <si>
    <t>Reputacional</t>
  </si>
  <si>
    <t>Ejecucion y Administracion de procesos</t>
  </si>
  <si>
    <t xml:space="preserve">     El riesgo afecta la imagen de la entidad con algunos usuarios de relevancia frente al logro de los objetivos</t>
  </si>
  <si>
    <t>Preventivo</t>
  </si>
  <si>
    <t>Manual</t>
  </si>
  <si>
    <t>Documentado</t>
  </si>
  <si>
    <t>Continua</t>
  </si>
  <si>
    <t>Con Registro</t>
  </si>
  <si>
    <t>Reducir (mitigar)</t>
  </si>
  <si>
    <t>Detectivo</t>
  </si>
  <si>
    <t>Correctivo</t>
  </si>
  <si>
    <t>Aleatoria</t>
  </si>
  <si>
    <t xml:space="preserve">     El riesgo afecta la imagen de la entidad a nivel nacional, con efecto publicitarios sostenible a nivel país</t>
  </si>
  <si>
    <t>Económico y Reputacional</t>
  </si>
  <si>
    <t>Usuarios, productos y practicas , organizacionales</t>
  </si>
  <si>
    <t xml:space="preserve">     El riesgo afecta la imagen de de la entidad con efecto publicitario sostenido a nivel de sector administrativo, nivel departamental o municipal</t>
  </si>
  <si>
    <t>Evitar</t>
  </si>
  <si>
    <t>Automático</t>
  </si>
  <si>
    <t xml:space="preserve">     El riesgo afecta la imagen de alguna área de la organización</t>
  </si>
  <si>
    <t>Sin Documentar</t>
  </si>
  <si>
    <t xml:space="preserve"> Inadecuada gestión de bienes muebles </t>
  </si>
  <si>
    <t xml:space="preserve">     Entre 10 y 50 SMLMV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</si>
  <si>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</si>
  <si>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</si>
  <si>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</si>
  <si>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</si>
  <si>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</si>
  <si>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</si>
  <si>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</si>
  <si>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</si>
  <si>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</si>
  <si>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</si>
  <si>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</si>
  <si>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</si>
  <si>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</si>
  <si>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</si>
  <si>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</si>
  <si>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</si>
  <si>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</si>
  <si>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</si>
  <si>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</si>
  <si>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</si>
  <si>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</si>
  <si>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</si>
  <si>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</si>
  <si>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</si>
  <si>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</si>
  <si>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</si>
  <si>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</si>
  <si>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</si>
  <si>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</si>
  <si>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</si>
  <si>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</si>
  <si>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</si>
  <si>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</si>
  <si>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</si>
  <si>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</si>
  <si>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</si>
  <si>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</si>
  <si>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</si>
  <si>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</si>
  <si>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</si>
  <si>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</si>
  <si>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</si>
  <si>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</si>
  <si>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</si>
  <si>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</si>
  <si>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</si>
  <si>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</si>
  <si>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</si>
  <si>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</si>
  <si>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</si>
  <si>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</si>
  <si>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</si>
  <si>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</si>
  <si>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</si>
  <si>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</si>
  <si>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</si>
  <si>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</si>
  <si>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</si>
  <si>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</si>
  <si>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</si>
  <si>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</si>
  <si>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</si>
  <si>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</si>
  <si>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</si>
  <si>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</si>
  <si>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</si>
  <si>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</si>
  <si>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</si>
  <si>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</si>
  <si>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</si>
  <si>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</si>
  <si>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</si>
  <si>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</si>
  <si>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</si>
  <si>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</si>
  <si>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</si>
  <si>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</si>
  <si>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</si>
  <si>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</si>
  <si>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</si>
  <si>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</si>
  <si>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</si>
  <si>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</si>
  <si>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</si>
  <si>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</si>
  <si>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</si>
  <si>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</si>
  <si>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</si>
  <si>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</si>
  <si>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Plan de accion (solo para la opción reducir)</t>
  </si>
  <si>
    <t>Finalizado</t>
  </si>
  <si>
    <t>En curso</t>
  </si>
  <si>
    <t>Daños Activos Fisicos</t>
  </si>
  <si>
    <t>Fallas Tecnologicas</t>
  </si>
  <si>
    <t>Fraude Externo</t>
  </si>
  <si>
    <t>Fraude Interno</t>
  </si>
  <si>
    <t>Relaciones Laborales</t>
  </si>
  <si>
    <t>Registro Sustancial</t>
  </si>
  <si>
    <t>Registro Material</t>
  </si>
  <si>
    <t>Sin registro</t>
  </si>
  <si>
    <t>Reducir</t>
  </si>
  <si>
    <t xml:space="preserve">Asegurar la adecuada administración de los bienes muebles, inmuebles y de consumo y la prestación de los servicios generales. </t>
  </si>
  <si>
    <t xml:space="preserve">Inicia con la elaboración de planes de mantenimiento, anual de Inventarios, aseo y cafeteria, Institucional de Gestión Ambiental, desarrolla las actividades de manejo y control de los bienes muebles e inmuebles y finaliza con los Planes de Mejoramiento, Acciones Correctivas y Acciones Preventivas. </t>
  </si>
  <si>
    <t>ADMINISTRATIVO</t>
  </si>
  <si>
    <t xml:space="preserve">Falta de gestión del inventario. </t>
  </si>
  <si>
    <t>Revisar y ajustar si es necesario el formato de distribución de material.</t>
  </si>
  <si>
    <t>Posibilidad de pérdida reputacional por  incumplimiento de las asesorías y asistencias técnicas brindadas por el INCI y/o la entrega de material especializado a instituciones del país  debido a  dificultades en la gestión con las entidades publicas y privadas.</t>
  </si>
  <si>
    <t>Debilidades en la gestión con las entidades u organizaciones objetivo de asistencia técnica por parte del INCI.</t>
  </si>
  <si>
    <t>Incumplimiento de las asesorías y asistencias técnicas y la entrega del material especializado.</t>
  </si>
  <si>
    <t xml:space="preserve"> El proceso inicia con el reconocimiento de las condiciones de atención para las personas con discapacidad visual y termina con la evaluación de las acciones desarrolladas </t>
  </si>
  <si>
    <t xml:space="preserve">Desarrollar acciones  que favorezcan los procesos de inclusión social de la población con discapacidad visual, mediante la asistencia técnica, el fortalecimiento en espacios de participación, la gestión del conocimiento y la distribución de material en formatos accesibles acorde con lo establecido en el plan de acción anual. </t>
  </si>
  <si>
    <t xml:space="preserve">ASISTENCIA TÉCNICA </t>
  </si>
  <si>
    <t>CENTRO CULTURAL</t>
  </si>
  <si>
    <t xml:space="preserve">Asesorar y brindar servicios que permitan a las personas con discapacidad visual del país, acceder a la información, el conocimiento y a la cultura.   </t>
  </si>
  <si>
    <t xml:space="preserve">El proceso inicia con las solicitudes de los servicios por parte de entidades públicas, privadas y las personas con discapacidad visual, termina con la evaluación de los mismos. </t>
  </si>
  <si>
    <t>Errores en la producción de documentos digitales accesibles para las personas con discapacidad visual.</t>
  </si>
  <si>
    <t xml:space="preserve"> Falta de controles que garanticen la calidad del servicio y/o producto.</t>
  </si>
  <si>
    <t>Posibilidad de pérdida reputacional por la falta de divulgación de las acciones desarrolladas para la inclusión de las personas con discapacidad visual, debido al uso inadecuado de los contenidos de comunicación.</t>
  </si>
  <si>
    <t>Debilidades en la planeación de los temas y las campañas de comunicación</t>
  </si>
  <si>
    <t xml:space="preserve">Falta de divulgación de las acciones desarrolladas para la inclusión de las personas con discapacidad visual 
</t>
  </si>
  <si>
    <t xml:space="preserve">El proceso inicia con la elaboración de la estrategia de comunicaciones y un plan de contenidos y finaliza con la promoción y divulgación del tema de discapacidad visual y el quehacer institucional.  </t>
  </si>
  <si>
    <t xml:space="preserve">Desarrollar acciones comunicativas que visibilicen los procesos de educación inclusiva, sociocultural de la población con discapacidad visual y demás servicios del INCI además de fortalecer la cultura organizacional y la imagen institucional de la Entidad.  </t>
  </si>
  <si>
    <t xml:space="preserve">COMUNICACIONES </t>
  </si>
  <si>
    <t>DIRECCIONAMIENTO ESTRATÉGICO</t>
  </si>
  <si>
    <t xml:space="preserve">Asesorar la formulación y el seguimiento de los planes, politicas y proyectos para la inclusión social de la población con  discapacidad visual acorde con los lineamientos establecidos.  
</t>
  </si>
  <si>
    <t xml:space="preserve">Inicia con la identificación de necesidades de la población con discapacidad visual, continua con la formulación y diseño de los planes y proyectos institucionales y termina con su evaluación. </t>
  </si>
  <si>
    <t xml:space="preserve">Incumplimiento de los planes y proyectos institucionales por parte de los procesos </t>
  </si>
  <si>
    <t>Oficina Asesora de Planeación</t>
  </si>
  <si>
    <t>Evaluacion y Mejoramiento</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</si>
  <si>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</si>
  <si>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 xml:space="preserve">Comprende la identificación de prioridades de evaluación de la gestión institucional, la planeación y ejecución de las auditorías, las evaluaciones y seguimientos establecidos en la normatividad vigente y finaliza con el seguimiento a los planes de mejoramiento institucional y por procesos. 
 </t>
  </si>
  <si>
    <t>Incumplimiento de la entrega de informes en los tiempos que establece la ley.</t>
  </si>
  <si>
    <t>Inadecuada proyección y ejecución del Plan Anual de Auditoría.</t>
  </si>
  <si>
    <t>Posibilidad de pérdida reputacional por incumplimiento de la entrega de informes en los tiempos que establece la ley debido a la inadecuada proyección y ejecución del Plan Anual de Auditoría.</t>
  </si>
  <si>
    <t>El asesor de Dirección General con funciones de control interno hace seguimiento periódico al cumplimiento del Plan Anual de Auditoria y lo modifican en caso de nuevos requerimientos, con aprobación del Comité Institucional de Coordinación de Control Interno.</t>
  </si>
  <si>
    <t>El asesor de Dirección General con funciones de Control Interno revisa y aprueba el formato Plan de Trabajo para cada uno de los seguimientos y/o auditorias.</t>
  </si>
  <si>
    <t>Posibilidad de no detectar hallazgos ( errores o desviaciones de control)  en las auditorías y/o evaluaciones realizadas</t>
  </si>
  <si>
    <t>Falta de pericia y conocimientos del auditor</t>
  </si>
  <si>
    <t>El asesor de Dirección General con funciones de Control Interno verifican que dentro del perfil del auditor se incluya  la formación y experiencia correspondiente.</t>
  </si>
  <si>
    <t>Realizar gestión con otras entidades formadoras en auditoria para realizar prácticas que suplan las deficiencias de personal auditor para incrementar el alcance de los temas y procesos auditados.</t>
  </si>
  <si>
    <t>El asesor de Dirección General con funciones de Control Interno</t>
  </si>
  <si>
    <t>El asesor de Dirección General con funciones de Control Interno revisa y aprueba los informe de las auditorías de acuerdo con los estándares de calidad definidos para los procesos de Auditoría Interna.</t>
  </si>
  <si>
    <t>El asesor de Dirección General con funciones de Control Interno verifica que los auditores se actualicen y capaciten de manera permanente en temas relacionados al ejercicio de la auditoría interna.</t>
  </si>
  <si>
    <t xml:space="preserve">El Comité Institucional de Coordinación revisa y analiza el Mapa de Aseguramiento presentado por el asesor de Dirección General con funciones de Control Interno para priorizar los procesos a  auditar durante la vigencia.   </t>
  </si>
  <si>
    <t xml:space="preserve">FINANCIERO </t>
  </si>
  <si>
    <t xml:space="preserve"> Proveer y controlar los recursos presupuestales, financieros y contables para el cumplimiento de los objetivos institucionales. </t>
  </si>
  <si>
    <t>El proceso inicia con la planeación del Presupuesto de la entidad, se desagrega para la operatividad, se controla en su ejecución y finaliza con la presentación de informes de ejecución presupuestal, financiera y contable a clientes internos y externos.</t>
  </si>
  <si>
    <t xml:space="preserve">Falta de oportunidad y calidad de la informacion </t>
  </si>
  <si>
    <t>Inadecuada e inoportuna informacion que se recibe de los  procesos, la falta de adecuados soportes contables y apropiacion del manual de politicas contables.</t>
  </si>
  <si>
    <t xml:space="preserve">El coordinador del proceso Financiero </t>
  </si>
  <si>
    <t>Posibilidad de pérdida reputacional por incumplimiento en el Plan de Adquisiciones debido a la falta de gestión de los servidores públicos de las dependencias interesadas y de seguimiento por parte del proceso de Gestión Contractual.</t>
  </si>
  <si>
    <t>Falta de gestión de los servidores públicos y de seguimiento por parte del proceso de Gestión Contractual.</t>
  </si>
  <si>
    <t xml:space="preserve"> Incumplimiento en el Plan de Adquisiciones</t>
  </si>
  <si>
    <t xml:space="preserve">El proceso inicia con la identificación y programación de las necesidades de contratación y finaliza con la elaboración de planes de mejoramiento, acciones correctivas y preventivas. </t>
  </si>
  <si>
    <t xml:space="preserve">Aplicar los procedimientos legales para contratar bienes, servicios y obras con el fin de satisfacer las necesidades del Instituto </t>
  </si>
  <si>
    <t xml:space="preserve">GESTIÓN CONTRACTUAL </t>
  </si>
  <si>
    <t>ADMINISTRACIÓN DOCUMENTAL</t>
  </si>
  <si>
    <t>Garantizar una Gestion Documental eficiente y efectiva, durante todo el clico de vida de los ducumentos (Archivo de Gestión, Archivo Central y Archivo Historico)</t>
  </si>
  <si>
    <t>Inicia con la Producción o Recepción de los documentos, para luego continuar con su Distribución, Trámite, Organización y Consulta, finalizando con la Conservación y Disposición final de los documentos de acuerdo a lo establecido por las Tablas de Retencion Documental</t>
  </si>
  <si>
    <t xml:space="preserve">Inadecuada gestión de la documentación e información de la entidad </t>
  </si>
  <si>
    <t>Falta de personal idóneo y no aplicación de los controles establecidos</t>
  </si>
  <si>
    <t xml:space="preserve"> GESTION HUMANA</t>
  </si>
  <si>
    <t>Promover el desarrollo del talento humano mediante acciones que generen un ambiente laboral propicio e impacten positivamente la productividad y mejoren la calidad de la vida laboral.</t>
  </si>
  <si>
    <t>El proceso inicia con la definición de necesidades de personal de planta y la gestión de ingreso, continúa con la ejecución de actividades administrativas y de desarrollo del talento humano durante su permanencia en el servicio y finaliza con la gestión del retiro.</t>
  </si>
  <si>
    <t xml:space="preserve"> fuga de conocimiento de los servidores publicos que se retiran de la entidad</t>
  </si>
  <si>
    <t xml:space="preserve"> falta de acciones y herramientas que garantice la transferencia del conocimiento.</t>
  </si>
  <si>
    <t>El coordinador del proceso de Gestión Humana y el jefe de la dependencia correspondiente verifica que a través del "Formato Entrega del Cargo" el servidor público que se retira o traslada transfiere sus saberes y conocimientos a la entidad.</t>
  </si>
  <si>
    <t>Perdida de historias laborales</t>
  </si>
  <si>
    <t>Debido a la factores naturales y personales</t>
  </si>
  <si>
    <t>Posibilidad de pérdida reputacional por perdida de historias laborales debido a la factores naturales y personales.</t>
  </si>
  <si>
    <t xml:space="preserve"> INFORMÁTICA Y TECNOLOGÍA </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</si>
  <si>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</si>
  <si>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 xml:space="preserve">Inicia con la elaboración del Plan Estratégico PETIC producto de la identificación de las necesidades individuales y generales de la Entidad en materia de tecnología y aplicativos informáticos y termina con la verificación de las condiciones de satisfacción de requerimientos PETIC. </t>
  </si>
  <si>
    <t>Perdida de la información y confidencialidad de las operaciones institucionales</t>
  </si>
  <si>
    <t>Inadecuada gestión de recursos de tecnologías de la información y comunicaciones para soportar  las operaciones institucionales en un marco de confidencialidad, disponibilidad e integridad de la información</t>
  </si>
  <si>
    <t>Posibilidad de pérdida reputacional y económica por perdida de la información y confidencialidad de esta, debido a ataques cibernéticos y a la inadecuada gestión de recursos de tecnologías de la información y comunicaciones para soportar  las operaciones institucionales en un marco de confidencialidad, disponibilidad e integridad de la información.</t>
  </si>
  <si>
    <t>El profesional especializado  del proceso de Informática y Tecnología realiza  las campañas en donde se socialice y se verifique la apropiación la política de seguridad de la información.</t>
  </si>
  <si>
    <t>El profesional especializado  del proceso de Informática y Tecnología activa y ejecuta la política de seguridad de la información con  las herramientas informáticas con las que cuenta la entidad.</t>
  </si>
  <si>
    <t>El profesional especializado o técnico operativo realiza seguimiento al cronograma de Ejecución Copias de Seguridad  del LAN y la Nube (IAAS, PAAS).</t>
  </si>
  <si>
    <t xml:space="preserve">PRODUCCIÓN RADIAL Y AUDIOVISUAL </t>
  </si>
  <si>
    <t>Producir y emitir contenidos radiales y audiovisuales sobre los derechos de la población con discapacidad visual, familias y colectivos como apoyo a la asistencia técnica de la Entidad desde una plataforma virtual. </t>
  </si>
  <si>
    <t xml:space="preserve"> El proceso inicia con la definición de contenidos radiales y audiovisuales con cada grupo de trabajo y termina con la divulgación de dichos contenidos. </t>
  </si>
  <si>
    <t xml:space="preserve">Deficiente emisión de contenidos radiales y audiovisuales </t>
  </si>
  <si>
    <t xml:space="preserve"> Inapropiado seguimiento y validación de calidad de los contenidos radiales y audiovisuales</t>
  </si>
  <si>
    <t>Posibilidad de pérdida reputacional por la deficiente emisión de contenidos radiales y/o audiovisuales debido al inapropiado seguimiento y validación de calidad de los mismos.</t>
  </si>
  <si>
    <t xml:space="preserve">Coordinador de producción radial y audiovisual  </t>
  </si>
  <si>
    <t xml:space="preserve">SERVICIO AL CIUDADANO </t>
  </si>
  <si>
    <t xml:space="preserve">Inicia  con la atención de los ciudadanos a través de los diferentes canales dispuestos por la entidad, y  finaliza con  la respuesta satisfactoria al ciudadano. </t>
  </si>
  <si>
    <t xml:space="preserve"> Inadecuada orientacion a los usuarios y respuestas fuera del limite de tiempo </t>
  </si>
  <si>
    <t xml:space="preserve"> Lineamientos insuficientes y desactualizados para la atencion de usuarios </t>
  </si>
  <si>
    <t>Posibilidad de pérdida reputacional por la inadecuada orientación a los usuarios debido a la falta de información de los procesos misionales de la entidad por parte del servidor público que atiende la oficina.</t>
  </si>
  <si>
    <t>Posibilidad de perdida reputacional por incumplimiento de los términos de la ley para la gestión de PQRSD debido a un inadecuado uso y  seguimiento de las mismas en la plataforma de gestión documental.</t>
  </si>
  <si>
    <t>Unidades Productivas</t>
  </si>
  <si>
    <t xml:space="preserve">Producir y comercializar material especializado como apoyo a los procesos de atención y acceso a la información de la población con discapacidad visual, dando respuesta a las solicitudes y requerimientos de personas naturales, entidades públicas y privadas que contribuyen a la inclusión de la población. 
    </t>
  </si>
  <si>
    <t xml:space="preserve"> Inicia con la solicitud de material especializado para la población con discapacidad visual y finaliza con la evaluación de satisfacción del cliente.</t>
  </si>
  <si>
    <t xml:space="preserve">Incumplimiento en la entrega de material especializado para personas con discapacidad visual </t>
  </si>
  <si>
    <t>Daños en la maquinaria o errores durante el proceso productivo</t>
  </si>
  <si>
    <t>Coordinador de Unidades Productivas</t>
  </si>
  <si>
    <t>El técnico operativo del proceso de Unidades Productivas revisa y actualiza las hojas de vida de las máquinas de acuerdo a lo establecido en el Plan de Mantenimiento.</t>
  </si>
  <si>
    <t>Perdida de clientes de la tienda INCI</t>
  </si>
  <si>
    <t xml:space="preserve"> Errores del personal de la tienda en la entrega de los productos.</t>
  </si>
  <si>
    <t>Posibilidad de pérdida reputacional por disminución de los  clientes debido a  errores del personal encargados de la atención de la tienda INCI en el ingreso de los productos, la orientación en la entrega de los mismos a los clientes y a la falta de inventario que responda a las demandas de los usuarios.</t>
  </si>
  <si>
    <t>Juridica</t>
  </si>
  <si>
    <t xml:space="preserve">Asesorar, asistir y representar al Instituto Nacional para Ciegos en todas las actuaciones judiciales y extra judiciales, procurando el cumplimiento y la aplicación de la normatividad legal vigente. </t>
  </si>
  <si>
    <t xml:space="preserve">El proceso inicia con la identificación de la normatividad, doctrina y jurisprudencia, continua con la recepción de solicitud de asesoria, reperesentación judicial o extrajudicial; continúa con su análisis jurídico y seguimiento, y finaliza con adelantar acciones para la mejora. </t>
  </si>
  <si>
    <t xml:space="preserve"> deficiencia en el calculo del pasivo contigente y la provision correspondiente al año en curso por falta de metodologia o desconocimeinto de las personas que lo elaboran y la ejecucion inoportuna de los procesos  de pago de la obligaciones y cumplimiento de sentencias</t>
  </si>
  <si>
    <t xml:space="preserve">Abogado Contratista Defensa juridica </t>
  </si>
  <si>
    <t>El incremento del valor que se debe pagar, concepto de sentencias ejecutoriadas y conciliaciones por demoras en su liquidación y pago</t>
  </si>
  <si>
    <t xml:space="preserve">El abogado contratista -defensa jurídica del estado, de la Oficina Asesora Jurídica, deberá alimentar mínimo 2 veces al año la plataforma Ekogui con la relación de la provisión contable y/o cuando el proceso tenga cambios importantes, el tema pecuniarios, y a su vez informar a financiera mediante memorando interno la sentencia que genera la obligación de pago por parte de la entidad a favor de un tercero. </t>
  </si>
  <si>
    <t xml:space="preserve">La Oficina Asesora Jurídica, a través del abogado o apoderado, solicitará (para su verificacion) a la Coordinación Administrativo y Financiera el soporte del pago de la obligación, cuando se presente. </t>
  </si>
  <si>
    <t>Entregable de Control</t>
  </si>
  <si>
    <t>Entregable de Plan de acción</t>
  </si>
  <si>
    <t>Fecha de control</t>
  </si>
  <si>
    <t>Fecha de plan de acción</t>
  </si>
  <si>
    <t>Jefe Oficina Asesora de Comunicaciones</t>
  </si>
  <si>
    <t xml:space="preserve">Proceso de Asistencias Tecnica  </t>
  </si>
  <si>
    <t>Acta de reunión con los lideres de proceso</t>
  </si>
  <si>
    <t>No aplica</t>
  </si>
  <si>
    <t xml:space="preserve">El profesional de la Oficina Asesora de Comunicaciones verifica que se cumpla el cronograma establecido y que cada publicación cumpla con los lineamientos de los manuales del proceso con el propósito de divulgar la información de la gestión institucional en forma clara y accesible. </t>
  </si>
  <si>
    <t xml:space="preserve">Jefe Oficina Asesora de Comunicaciones </t>
  </si>
  <si>
    <t>Cronograma del Plan de Comunicaciones ejecutado y evidencias de reuniones de seguimiento</t>
  </si>
  <si>
    <t>Formato ajustado</t>
  </si>
  <si>
    <t>Posibilidad de pérdida reputaciónal por incumplimiento de la programación del  Centro Cultural con entidades publicas, privadas y población en general y/o errores en la producción de documentos digitales accesibles para las personas con discapacidad visual debido a falta de controles que garanticen la calidad del servicio y/o producto.</t>
  </si>
  <si>
    <t>Posibilidad de pérdida reputacional y/o económica por el incumplimiento o errores en la entrega de material especializado para personas con discapacidad visual, debido a fallas durante el proceso de planeación  y/o producción.</t>
  </si>
  <si>
    <t>Proceso de Gestión Documental</t>
  </si>
  <si>
    <t>El técnico operativo del proceso de Gestión Documental verifica que los jefes, secretarias  y servidores públicos asistan a la capacitación sobre el uso de Orfeo y confidencialidad de la información y posteriormente evalúa la apropiación de los conocimientos adquiridos.</t>
  </si>
  <si>
    <t xml:space="preserve">Formato de Control y Seguimiento Consulta y Prestamo de Documentos Diligenciado  (archivo Central y de Gestión)  </t>
  </si>
  <si>
    <t>Reporte de consecutivo de correspondencia con sus respectivas observacioens</t>
  </si>
  <si>
    <t>Profesional Universitario de Servicio al Ciudadano</t>
  </si>
  <si>
    <t>Relación de las PQRSD  de Orfeo  que se gestionan desde Servicio al Ciudadano.</t>
  </si>
  <si>
    <t>Ident+A7:AL15ificación del riesgo</t>
  </si>
  <si>
    <t>No Aplica</t>
  </si>
  <si>
    <t>Pantallazo del respositorio donde se realiza el Backup´s de servidores almacenados en la SAN según la política de seguridad de la información y el procedimiento copias de seguridad información digital.</t>
  </si>
  <si>
    <t>Proceso de Gestión Contractual</t>
  </si>
  <si>
    <t>El líder del proceso de Gestión Contractual, a través de la Mesa  de Contratación, realiza seguimientos mensuales a la proyección de la contratación del Plan Anual Adquisiciones.</t>
  </si>
  <si>
    <t xml:space="preserve">Acta de reunión de la Mesa de Contratación donde se hace seguimiento </t>
  </si>
  <si>
    <t>Pantallazo de correo electronico enviado</t>
  </si>
  <si>
    <t>Posibilidad de afectación económica por el incremento del valor que se debe pagar por concepto de sentencias, ejecutadas conciliaciones por demoras en su liquidación y pago debido a una deficiencia en el cálculo del pasivo contingente y la provisión correspondiente al año en curso, por falta de metodología o desconocimiento de las personas que lo elaboran y la ejecución inoportuna de los procesos de pago de la obligación y cumplimiento de sentencias</t>
  </si>
  <si>
    <t>Grupo de Gestión Humana y de la Información</t>
  </si>
  <si>
    <t xml:space="preserve">Proceso adminsitrativo </t>
  </si>
  <si>
    <t xml:space="preserve">Diseño de Cronograma y registro de ejecución del mismo  </t>
  </si>
  <si>
    <t>Proceso de Evaluación y Mejoramiento</t>
  </si>
  <si>
    <t xml:space="preserve">Seguimiento al Plan de Auditoria </t>
  </si>
  <si>
    <t>El técnico del proceso de Gestión Documental verifica que en los perfiles de los estudios previos,  en los criterios de la selección de los  contratistas  se tenga una formación idónea.</t>
  </si>
  <si>
    <t>Ejecución y Administración de procesos</t>
  </si>
  <si>
    <t xml:space="preserve">Incumplimiento de los términos la ley para la gestión de PQRSD </t>
  </si>
  <si>
    <t>Inadecuado seguimiento de las PQRSD según la plataforma de gestión documental de la entidad en relación con las PQRSD en la que se establece  la fecha de radicado y se priorizan los tiempos de respuesta según se  establece la ley.</t>
  </si>
  <si>
    <t xml:space="preserve">Pantallazo de la plataforma Ekogui </t>
  </si>
  <si>
    <t>Correo o evidencia de solicitud de pago de obligación</t>
  </si>
  <si>
    <t xml:space="preserve">Entrega del Información al Procesos contable y pantallazos de correos de alerta a los diferentes procesos </t>
  </si>
  <si>
    <t xml:space="preserve">Inadecuado e inoportuno seguimiento por parte de los líderes de proceso para el cumplimiento de los planes institucionales 
</t>
  </si>
  <si>
    <t>Acta de reunión</t>
  </si>
  <si>
    <t>Muestra de  comprobante manual firmado  generado en SIIF con su debido soporte (uno por mes)</t>
  </si>
  <si>
    <t>El  profesional con funciones de contador del proceso financiero  registra en SIIF todos las operaciones contables no automatizadas con base en los  soportes fisicos recibidos de los procesos y revisa los comprobantes manuales para su archivo en las TRD</t>
  </si>
  <si>
    <t>Muestra del formato aplicado en el movimiento del almacen</t>
  </si>
  <si>
    <t xml:space="preserve">Posibilidad de pérdida reputacional y económica por inadecuado control de bienes muebles debido a incumplimiento a los procedimientos asociados al inventario. </t>
  </si>
  <si>
    <t xml:space="preserve">1. Solicitud a la Agencia Nacional de defensa jurídica del Estado y soporte de participación
2.Certificado de apropiacion de los conocimientos de la defensa juridica de los funcionarios </t>
  </si>
  <si>
    <t>Formato de Matriz Unificada de Asesoías diligenciado .
Gestión Interintitucional( Empleo, organizaciones,
Accesibilidad
Educació)</t>
  </si>
  <si>
    <t>Proceso de Servicio al Ciudadano</t>
  </si>
  <si>
    <t>Estudios previos del contratista con el perfil requerido</t>
  </si>
  <si>
    <t>Documento que evidencie la gestión realizada</t>
  </si>
  <si>
    <t>No  aplica</t>
  </si>
  <si>
    <t>Informes de auditoria aprobados</t>
  </si>
  <si>
    <t>Constancia de capacitaciones de los auditores</t>
  </si>
  <si>
    <t xml:space="preserve">Acta  del comité aprobando  el mapa de aseguramiento  </t>
  </si>
  <si>
    <t xml:space="preserve">Los profesionales especializados y universitario de la Oficina Asesora de Planeación revisan y retroalimentan las actividades a establecer dentro del Plan de Acción y el Plan Anual de Adquisiciones de cada año a través de reuniones con los líderes de proceso. </t>
  </si>
  <si>
    <t>Los profesionales especializados de la Oficina Asesora de Planeación y los lideres de proceso revisan el cumplimiento de las actividades y las metas de los proyectos de inversión y se realizan los ajustes si se considera pertinente.</t>
  </si>
  <si>
    <t>El técnico del proceso de Gestión Documental y los responsables de archivo, realizan el control a la consulta y préstamo de documentos y/o expedientes en el formato de Consulta y Préstamo de Documentos de acuerdo a los establecido en el procedimiento.</t>
  </si>
  <si>
    <t>Realizar control y seguimiento a los documentos de los procesos en físico y sistema ORFEO</t>
  </si>
  <si>
    <t>Posibilidad de pérdida reputacional y económico por inadecuada gestión de la documentación e información de la entidad, debido a la  falta de personal idóneo y no aplicación de los controles establecidos</t>
  </si>
  <si>
    <t>Estudios previos con criterios de selección de formacion idonea</t>
  </si>
  <si>
    <t>Capacitación realizada.
Lista de asistencia.
Evaluación de apropiación</t>
  </si>
  <si>
    <t xml:space="preserve">Documento consolidado con las necesidades manifestadas por los usuarios. </t>
  </si>
  <si>
    <t xml:space="preserve">Gestionar con el proceso de asistencia técnica dos jornadas de capacitación y actualización, sobre los  productos para personas con discapacidad visual. </t>
  </si>
  <si>
    <t>Acta y lista de asistencia de la capacitación realizada.</t>
  </si>
  <si>
    <t xml:space="preserve">Evidencia de las  capacitaciones  realizadas en temas como sofware Ineditto y otros identificados. </t>
  </si>
  <si>
    <t xml:space="preserve">Acta de reunión con los lideres de proceso para la formulación del Plan de Acción Anual y el Plan Anual de Adquisiciones </t>
  </si>
  <si>
    <t>Evidencia de seguimiento al Plan .</t>
  </si>
  <si>
    <t>Reporte consolidado de los seguimientos.</t>
  </si>
  <si>
    <t>Reportes.</t>
  </si>
  <si>
    <t>Realizar seguimiento mensual a la ejecución del plan de comunicaciones a través del software SIG.</t>
  </si>
  <si>
    <t xml:space="preserve">Realizar seis (6)capacitaciones sobre (maquinaria, sofware Ineditto y otras que se identifique necesarias).
</t>
  </si>
  <si>
    <t>El profesional especializado  del proceso de Informática y Tecnología  realiza el backup de servidores almacenados en la SAN según la política de seguridad de la información y el procedimiento copias de seguridad información digital.</t>
  </si>
  <si>
    <t xml:space="preserve">Campañas e de seguridad de la información y evaluación de la campaña </t>
  </si>
  <si>
    <t>Proceso de Informática y Tecnología</t>
  </si>
  <si>
    <t>Cronograma o informe  de ejecucion de la política  la política de seguridad de la información con  las herramientas informáticas con las que cuenta la Entidad.</t>
  </si>
  <si>
    <t>Seguimiento al cronograma de ejecución copias de seguridad  del LAN y la Nube (IAAS, PAAS).</t>
  </si>
  <si>
    <t>El profesional universitario del proceso financiero revisa mensualmente el cumplimiento del "cronograma Entrega de  Información al Procesos Contable" y envía alertas a los procesos para su cumplimiento.</t>
  </si>
  <si>
    <t>Probabilidad de perdida reputacional y económica por inconsistencias en la información contable que se registra en SIIF debido  a la inadecuada e inoportuna información que se recibe de los  procesos, la falta de adecuados soportes contables y la indebida apropiación del manual de políticas contables.</t>
  </si>
  <si>
    <t xml:space="preserve">Realizar sensibilización con los procesos involucrados sobre la importancia del cumplimiento del  "Cronograma Entrega de Información al Procesos contable" </t>
  </si>
  <si>
    <t>Posibilidad de pérdida reputacional por el incumplimiento de los planes institucionales debido al inadecuado e inoportuno seguimiento por parte de los líderes de proceso.</t>
  </si>
  <si>
    <t>Implementar el Plan de Acción  en el  software del Sistema Integrado de Gestión.</t>
  </si>
  <si>
    <t>El profesional de la Oficina Asesora de Comunicaciones revisa y aprueba las necesidades de divulgación de información con los procesos de la Entidad, las registra en el Plan de Comunicaciones .</t>
  </si>
  <si>
    <t xml:space="preserve">Proceso de Asistencia Técnica  </t>
  </si>
  <si>
    <t>El coordinador del proceso Centro Cultural</t>
  </si>
  <si>
    <t xml:space="preserve">Informe técnico de la verificación de los metadatos del  Dspace con la información real del objeto digital. </t>
  </si>
  <si>
    <t>Seguimiento de las solicitudes realizadas por ORFEO</t>
  </si>
  <si>
    <t xml:space="preserve">Formato Hoja de Vida Maquina diligenciado </t>
  </si>
  <si>
    <t>Formato de calidad de emisión y calidad al aire, diligenciado</t>
  </si>
  <si>
    <t>Formato de calidad del contenido audiovisual diligenciado, donde se verifiquen los criterios de calidad del producto audiovisual.</t>
  </si>
  <si>
    <t>El profesional universitario de producción audiovisual verifica el cumplimiento de los criterios de calidad del producto,  establecidos en  el  procedimiento audivisual.</t>
  </si>
  <si>
    <t>Ejecución y Administracion de procesos</t>
  </si>
  <si>
    <t>El coordinador del proceso de Unidades Productivas, verifica la calidad del material especializado producido en la imprenta, dando cumplimiento de los requisitos solicitados por el cliente de acuerdo con orden de producción.</t>
  </si>
  <si>
    <t xml:space="preserve"> Orden de producción y remisión.</t>
  </si>
  <si>
    <t xml:space="preserve"> Formato de  cotización y orden de producción emitida.</t>
  </si>
  <si>
    <t>Matriz que consolida todos los procesos de asistencia técnica.</t>
  </si>
  <si>
    <t xml:space="preserve">Generar alertas a peticiones que tienen dos (2) días hábiles para su vencimiento, mediante memorando dirigido al lider del proceso y al responsable de la respuesta con copia a la Secretaría General. </t>
  </si>
  <si>
    <t xml:space="preserve">Memorando dirigido al lider del proceso y al responsable de la respuesta con copia a la Secretaría General.  </t>
  </si>
  <si>
    <t>El profesional Universitario del servicio al ciudadano verifica los tiempos de respuesta de las PQRSD recibidas en la Entidad a traves del Sistema de gestión documentalORFEO y realiza su seguimiento.</t>
  </si>
  <si>
    <t>El profesional Universitario del servicio al ciudadano, realiza seguimiento a las respuestas de las PQRSD registradas en el Sistema de gestión documental ORFEO, consolida cada dos (2) días el reporte y envía mediante correo electrónico alertas  a los servidores públicos responsables las que se encuentren pendientes por gestión, con copia a los Jefes de área o dependencia con el fin que se gestionen oportunamente las respuestas a las PQRSD.</t>
  </si>
  <si>
    <t xml:space="preserve"> Reporte consolidado de la gestión de las PQRSD y pantallazo de correos enviados.</t>
  </si>
  <si>
    <t>El profesional Universitario del servicio al ciudadano realiza una capacitación anual con todos los servidores públicos en temas de PQRSD y la gestión en la plataforma ORFEO y verifica la apropiación de estos conocimientos.</t>
  </si>
  <si>
    <t>Actas de reunión.</t>
  </si>
  <si>
    <t xml:space="preserve">Realizar seguimiento e identificación de las preguntas frecuentes recibidas por la ciudadania a través de los diferentes canales de atención y socializar con los procesos misionales con la el fin de actualizar el micrositio de atención al ciudadano. </t>
  </si>
  <si>
    <t xml:space="preserve">Acta de reunión y actualización de la pregunta frecuente en el microsito si aplica. </t>
  </si>
  <si>
    <t>Capacitación y evaluacion sobre " el uso de Orfeo y Confidencialidad de la Información"</t>
  </si>
  <si>
    <r>
      <t xml:space="preserve">El contratista del servicio de biblioteca del proceso del Centro Cultural, realiza soporte técnico del repositorio institucional de la biblioteca en el cual revisa y verifica que  los metadatos ingresados en el </t>
    </r>
    <r>
      <rPr>
        <b/>
        <sz val="12"/>
        <rFont val="Arial"/>
        <family val="2"/>
      </rPr>
      <t>Dspace</t>
    </r>
    <r>
      <rPr>
        <sz val="12"/>
        <rFont val="Arial"/>
        <family val="2"/>
      </rPr>
      <t xml:space="preserve"> correspondan con la información real del objeto digital.</t>
    </r>
  </si>
  <si>
    <t>El coordinador del proceso de Centro Cultural, verifica que se de respuesta a las solicitudes de talleres recibidas a través del  aplicativo  ORFEO.</t>
  </si>
  <si>
    <t>El profesional especializado de la Oficina Asesora de Planeación verifica mediante el instrumento de seguimiento al Plan de Acción, la información mensual de los proyectos de inversión respecto al avance en el cumplimiento de las actividades y las evidencias aportadas.</t>
  </si>
  <si>
    <t>Plan de comunicaciones con las  necesidades de divulgación de información de los procesos de la Entidad.</t>
  </si>
  <si>
    <t>Actualizar los manuales de estructuración y catalogación y elaborar los formatos que contengan los criterios a verificar .</t>
  </si>
  <si>
    <t xml:space="preserve">Elaboración de los formatos (check list) con los criterios definidos en los manuales de estructuración y catalogación. </t>
  </si>
  <si>
    <t xml:space="preserve"> Checklist donde se evidencie la  verificación de los criterios definidos en los manuales de estructuración y catalogación.</t>
  </si>
  <si>
    <r>
      <t>Los técnicos operativos del proceso Centro Cultural revisan los criterios de calidad de los recursos digitales establecidos en los</t>
    </r>
    <r>
      <rPr>
        <b/>
        <sz val="12"/>
        <rFont val="Arial"/>
        <family val="2"/>
      </rPr>
      <t xml:space="preserve"> Manuales Estructuración y catalogación.</t>
    </r>
  </si>
  <si>
    <t>Plan de trabajo  y seguimiento al plan de trabajo</t>
  </si>
  <si>
    <t>Posibilidad de perdida  reputacional por no detectar hallazgos ( errores o desviaciones de control)  en las auditorías y/o evaluaciones realizadas debido a la falta de pericia y conocimientos del auditor.</t>
  </si>
  <si>
    <t xml:space="preserve">El profesional especializado del proceso Administrativo revisa y verifica trimestralmente  la ejecución del cronograma entregado por el contratista  de apoyo del almacén.  </t>
  </si>
  <si>
    <t>El técnico administrativo y/o el contratista del proceso Administrativo verifica que el movimiento del almacén se realice con previo diligenciamiento del "Formato Único de solicitud traslado,  reintegro de bienes devolutivos, de consumo, tienda INCI y consumo"</t>
  </si>
  <si>
    <t>El Secretario del proceso de Gestión Humana revisa y confronta  la historia laboral de los servidores públicos a través del formato Hoja de Control de Historias Laborales y  digitaliza  las mismas en un drive  con el fin de salvaguardar la información.</t>
  </si>
  <si>
    <t>El jefe de la Oficina Asesora Jurídica, a través de correo electrónico,  envía convocatoria para sesión mensual de la Mesa Técnica de contratación a las dependencias correspondientes, y relaciona un listado de los procesos de contratación pendientes por radicar en la dependencia, de acuerdo a la programación del Plan Anual de Adquisiciones para su discusión y aprobación.</t>
  </si>
  <si>
    <t>Posibilidad de pérdida  reputacional por fuga de conocimiento de los servidores públicos que se retira de la entidad o trasladan de cargo , debido a la falta de acciones y herramientas que garanticen la transferencia del conocimiento.</t>
  </si>
  <si>
    <t>Elaborar el documento de acta de informe de gestión donde ademas se incluya las acciones para la retención del conocimiento y socializar con las areas.</t>
  </si>
  <si>
    <t>Formato Acta de informe de gestión - Lista de Asistencia - Autoevaluación de Conocimiento</t>
  </si>
  <si>
    <t>Formato entrega del cargo - Formato entregables por retiro del cargo</t>
  </si>
  <si>
    <t>Verificaión aleatoria cuatrimestralmente del profesional especializado realiza verificaicón con el secratrio del proceso de manera aleatoria cuatrimestarlmente a 5 historias laborales</t>
  </si>
  <si>
    <t xml:space="preserve">Acta de reunión </t>
  </si>
  <si>
    <t>Formato Hoja de Control de Historias Laborales y  Link drive actualizado con esta información.</t>
  </si>
  <si>
    <t>El profesional especializado del proceso de asistencia técnica revisa y proyecta en la matriz de Distribución de material, las instituciones y el material especializado que se entregará a nivel nacional.</t>
  </si>
  <si>
    <t>Matriz que consolida la distribucion de material proyectado a nivel nacional.</t>
  </si>
  <si>
    <t xml:space="preserve">Consolidar una herramienta (matriz de seguimiento)para registrar las  actividades desarrolladas por el proceso de asistencia técnica (participación ciudadana, educación, accesibilidad y empleabilidad) en cada una de las entidades territoriales </t>
  </si>
  <si>
    <t>El coordinador y/o productor ( grabador de contenido radial) del proceso, revisa la calidad y el cumplimiento de los tiempos y pausas institucionales de los contenidos radiales.</t>
  </si>
  <si>
    <t>El jefe y/o el abogado contratista de la Oficina Asesora Jurídica gestionará ante la Agencia Nacional de defensa jurídica del Estado las capacitaciones  para la apropiación de conocimientos de los servidores publicos que estan involucrados en el proceso de la defensa jurídica</t>
  </si>
  <si>
    <t>Los coordinadores de grupo del proceso de asistencia técnica verifican en el "Formato acciones asistencia técnica" el correcto diligenciamiento de la información de las acciones desarrolladas y el cumplimiento de las mismas.</t>
  </si>
  <si>
    <t>Septiembre a Diciembre de 2024</t>
  </si>
  <si>
    <t>Enero -Diciembre de 2024</t>
  </si>
  <si>
    <t xml:space="preserve">
Agosto 2024
</t>
  </si>
  <si>
    <t>Mayo  a Diciembre de 2024</t>
  </si>
  <si>
    <t>Enero a diciembre de  2024</t>
  </si>
  <si>
    <t>Enero a Abril de 2024</t>
  </si>
  <si>
    <t>Enero a abril de  2024</t>
  </si>
  <si>
    <t>Enero a diciembre 2024</t>
  </si>
  <si>
    <t>Enero - diciembre del 2024</t>
  </si>
  <si>
    <t>enero - agosto del 2024</t>
  </si>
  <si>
    <t>Enero a Diciembre 2024</t>
  </si>
  <si>
    <t>Enero a Agosto  2024</t>
  </si>
  <si>
    <t>Enero - Diciembre de 2024</t>
  </si>
  <si>
    <t>Enero a diciembre de 2024</t>
  </si>
  <si>
    <t>Mayo - Agosto de 2024</t>
  </si>
  <si>
    <t>Enero a Abril  de 2024</t>
  </si>
  <si>
    <t>Enero a Diciembre de 2024</t>
  </si>
  <si>
    <t>Mayo a agosto de 2024</t>
  </si>
  <si>
    <t>Agosto / Diciembre
12024</t>
  </si>
  <si>
    <t>Enero - Abril 2024</t>
  </si>
  <si>
    <t>Mayo - Diciembre 2024</t>
  </si>
  <si>
    <t>Enero - marzo de 2024</t>
  </si>
  <si>
    <t>Septiembre de 2024</t>
  </si>
  <si>
    <t>Enero a abril de 2024</t>
  </si>
  <si>
    <t>El coordinador del proceso de Unidades Productivas, válida las especificaciones técnicas estipuladas en la cotización y orden de producción.</t>
  </si>
  <si>
    <t xml:space="preserve">El técnico administrativo responsable de la tienda INCI, consolidará las necesidades de productos manifestadas por los usuarios de la tienda y los procesos misionales.  </t>
  </si>
  <si>
    <t>Brindar información y orientación pertinente y oportuna sobre los servicios institucionales y aquellos que ofertan las entidades públicas y privadas a las personas con discapacidad visual, sus familias y sus colectivos;  a las instituciones públicas y privadas y a la población en general, para contribuir  a la satisfacción y mejoramiento de la confianza del ciudadano frente a la institución.</t>
  </si>
  <si>
    <t xml:space="preserve">El profesional universitario de servicio al ciudadano, verifica en  reuniones cuatrimestrales con los coordinadores de los procesos misionales la información que se brinda de cara a la ciudadania.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</si>
</sst>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8"/>
      <name val="Calibri"/>
      <family val="2"/>
      <scheme val="minor"/>
    </font>
    <font>
      <sz val="12"/>
      <color theme="1"/>
      <name val="Arial"/>
      <family val="2"/>
    </font>
    <font>
      <sz val="12"/>
      <name val="Arial"/>
      <family val="2"/>
    </font>
    <font>
      <sz val="12"/>
      <color rgb="FFFFFFFF"/>
      <name val="Arial Narrow"/>
      <family val="2"/>
    </font>
    <font>
      <b/>
      <sz val="12"/>
      <color theme="1"/>
      <name val="Arial"/>
      <family val="2"/>
    </font>
    <font>
      <sz val="11"/>
      <color theme="1"/>
      <name val="Arial"/>
      <family val="2"/>
    </font>
    <font>
      <b/>
      <sz val="14"/>
      <color theme="1"/>
      <name val="Arial"/>
      <family val="2"/>
    </font>
    <font>
      <b/>
      <sz val="12"/>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4" fillId="0" borderId="0" applyFont="0" applyFill="0" applyBorder="0" applyAlignment="0" applyProtection="0"/>
    <xf numFmtId="0" fontId="43" fillId="0" borderId="0"/>
    <xf numFmtId="0" fontId="44" fillId="0" borderId="0"/>
    <xf numFmtId="0" fontId="5" fillId="0" borderId="0"/>
  </cellStyleXfs>
  <cellXfs count="46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5" fillId="3" borderId="51" xfId="2" applyFont="1" applyFill="1" applyBorder="1"/>
    <xf numFmtId="0" fontId="45" fillId="3" borderId="52" xfId="2" applyFont="1" applyFill="1" applyBorder="1"/>
    <xf numFmtId="0" fontId="45" fillId="3" borderId="53" xfId="2" applyFont="1" applyFill="1" applyBorder="1"/>
    <xf numFmtId="0" fontId="16" fillId="3" borderId="0" xfId="0" applyFont="1" applyFill="1" applyAlignment="1">
      <alignment vertical="center"/>
    </xf>
    <xf numFmtId="0" fontId="5" fillId="3" borderId="0" xfId="0" applyFont="1" applyFill="1"/>
    <xf numFmtId="0" fontId="32" fillId="3" borderId="0" xfId="0" applyFont="1" applyFill="1"/>
    <xf numFmtId="0" fontId="33" fillId="3" borderId="34" xfId="0" applyFont="1" applyFill="1" applyBorder="1" applyAlignment="1">
      <alignment horizontal="center" vertical="center" wrapText="1" readingOrder="1"/>
    </xf>
    <xf numFmtId="0" fontId="34" fillId="3" borderId="34" xfId="0" applyFont="1" applyFill="1" applyBorder="1" applyAlignment="1">
      <alignment horizontal="justify" vertical="center" wrapText="1" readingOrder="1"/>
    </xf>
    <xf numFmtId="9" fontId="33" fillId="3" borderId="43" xfId="0" applyNumberFormat="1" applyFont="1" applyFill="1" applyBorder="1" applyAlignment="1">
      <alignment horizontal="center" vertical="center" wrapText="1" readingOrder="1"/>
    </xf>
    <xf numFmtId="0" fontId="33" fillId="3" borderId="33" xfId="0" applyFont="1" applyFill="1" applyBorder="1" applyAlignment="1">
      <alignment horizontal="center" vertical="center" wrapText="1" readingOrder="1"/>
    </xf>
    <xf numFmtId="0" fontId="34" fillId="3" borderId="33" xfId="0" applyFont="1" applyFill="1" applyBorder="1" applyAlignment="1">
      <alignment horizontal="justify" vertical="center" wrapText="1" readingOrder="1"/>
    </xf>
    <xf numFmtId="9" fontId="33" fillId="3" borderId="38" xfId="0" applyNumberFormat="1" applyFont="1" applyFill="1" applyBorder="1" applyAlignment="1">
      <alignment horizontal="center" vertical="center" wrapText="1" readingOrder="1"/>
    </xf>
    <xf numFmtId="0" fontId="34" fillId="3" borderId="38" xfId="0" applyFont="1" applyFill="1" applyBorder="1" applyAlignment="1">
      <alignment horizontal="center" vertical="center" wrapText="1" readingOrder="1"/>
    </xf>
    <xf numFmtId="0" fontId="33" fillId="3" borderId="40" xfId="0" applyFont="1" applyFill="1" applyBorder="1" applyAlignment="1">
      <alignment horizontal="center" vertical="center" wrapText="1" readingOrder="1"/>
    </xf>
    <xf numFmtId="0" fontId="34" fillId="3" borderId="40" xfId="0" applyFont="1" applyFill="1" applyBorder="1" applyAlignment="1">
      <alignment horizontal="justify" vertical="center" wrapText="1" readingOrder="1"/>
    </xf>
    <xf numFmtId="0" fontId="34" fillId="3" borderId="41" xfId="0" applyFont="1" applyFill="1" applyBorder="1" applyAlignment="1">
      <alignment horizontal="center" vertical="center" wrapText="1" readingOrder="1"/>
    </xf>
    <xf numFmtId="0" fontId="42" fillId="3" borderId="0" xfId="0" applyFont="1" applyFill="1"/>
    <xf numFmtId="0" fontId="33" fillId="15" borderId="45" xfId="0" applyFont="1" applyFill="1" applyBorder="1" applyAlignment="1">
      <alignment horizontal="center" vertical="center" wrapText="1" readingOrder="1"/>
    </xf>
    <xf numFmtId="0" fontId="33" fillId="15" borderId="46" xfId="0" applyFont="1" applyFill="1" applyBorder="1" applyAlignment="1">
      <alignment horizontal="center" vertical="center" wrapText="1" readingOrder="1"/>
    </xf>
    <xf numFmtId="0" fontId="13" fillId="3" borderId="0" xfId="0" applyFont="1" applyFill="1"/>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5" fillId="3" borderId="14" xfId="2" applyFont="1" applyFill="1" applyBorder="1"/>
    <xf numFmtId="0" fontId="50" fillId="3" borderId="0" xfId="0" applyFont="1" applyFill="1" applyAlignment="1">
      <alignment horizontal="left" vertical="center" wrapText="1"/>
    </xf>
    <xf numFmtId="0" fontId="51" fillId="3" borderId="0" xfId="0" applyFont="1" applyFill="1" applyAlignment="1">
      <alignment horizontal="left" vertical="top" wrapText="1"/>
    </xf>
    <xf numFmtId="0" fontId="45" fillId="3" borderId="0" xfId="2" applyFont="1" applyFill="1"/>
    <xf numFmtId="0" fontId="45" fillId="3" borderId="15" xfId="2" applyFont="1" applyFill="1" applyBorder="1"/>
    <xf numFmtId="0" fontId="45" fillId="3" borderId="16" xfId="2" applyFont="1" applyFill="1" applyBorder="1"/>
    <xf numFmtId="0" fontId="45" fillId="3" borderId="18" xfId="2" applyFont="1" applyFill="1" applyBorder="1"/>
    <xf numFmtId="0" fontId="45" fillId="3" borderId="17" xfId="2" applyFont="1" applyFill="1" applyBorder="1"/>
    <xf numFmtId="0" fontId="49" fillId="3" borderId="0" xfId="2" applyFont="1" applyFill="1" applyAlignment="1">
      <alignment horizontal="left" vertical="center" wrapText="1"/>
    </xf>
    <xf numFmtId="0" fontId="45" fillId="3" borderId="0" xfId="2" applyFont="1" applyFill="1" applyAlignment="1">
      <alignment horizontal="left" vertical="center" wrapText="1"/>
    </xf>
    <xf numFmtId="0" fontId="45" fillId="3" borderId="0" xfId="2" quotePrefix="1" applyFont="1" applyFill="1" applyAlignment="1">
      <alignment horizontal="left" vertical="center" wrapText="1"/>
    </xf>
    <xf numFmtId="0" fontId="47" fillId="3" borderId="14" xfId="2" quotePrefix="1" applyFont="1" applyFill="1" applyBorder="1" applyAlignment="1">
      <alignment horizontal="left" vertical="top" wrapText="1"/>
    </xf>
    <xf numFmtId="0" fontId="48" fillId="3" borderId="0" xfId="2" quotePrefix="1" applyFont="1" applyFill="1" applyAlignment="1">
      <alignment horizontal="left" vertical="top" wrapText="1"/>
    </xf>
    <xf numFmtId="0" fontId="48" fillId="3" borderId="15" xfId="2" quotePrefix="1" applyFont="1" applyFill="1" applyBorder="1" applyAlignment="1">
      <alignment horizontal="left" vertical="top" wrapText="1"/>
    </xf>
    <xf numFmtId="0" fontId="55" fillId="0" borderId="33" xfId="0" applyFont="1" applyBorder="1" applyAlignment="1" applyProtection="1">
      <alignment horizontal="center" vertical="center" wrapText="1"/>
      <protection locked="0"/>
    </xf>
    <xf numFmtId="0" fontId="55" fillId="0" borderId="33" xfId="0" applyFont="1" applyBorder="1" applyAlignment="1" applyProtection="1">
      <alignment horizontal="left" vertical="center" wrapText="1"/>
      <protection locked="0"/>
    </xf>
    <xf numFmtId="0" fontId="56" fillId="0" borderId="33" xfId="0" applyFont="1" applyBorder="1" applyAlignment="1" applyProtection="1">
      <alignment horizontal="center" vertical="center" wrapText="1"/>
      <protection locked="0"/>
    </xf>
    <xf numFmtId="0" fontId="56" fillId="3" borderId="0" xfId="0" applyFont="1" applyFill="1" applyAlignment="1">
      <alignment horizontal="center" vertical="center" wrapText="1"/>
    </xf>
    <xf numFmtId="0" fontId="33" fillId="6" borderId="0" xfId="0" applyFont="1" applyFill="1" applyAlignment="1">
      <alignment horizontal="center" vertical="center" wrapText="1" readingOrder="1"/>
    </xf>
    <xf numFmtId="0" fontId="34" fillId="5" borderId="1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1" xfId="0" applyFont="1" applyBorder="1" applyAlignment="1">
      <alignment horizontal="justify" vertical="center" wrapText="1" readingOrder="1"/>
    </xf>
    <xf numFmtId="0" fontId="34" fillId="7" borderId="1"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1" xfId="0" applyFont="1" applyBorder="1" applyAlignment="1">
      <alignment horizontal="justify"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57" fillId="9" borderId="1" xfId="0" applyFont="1" applyFill="1" applyBorder="1" applyAlignment="1">
      <alignment horizontal="center" vertical="center" wrapText="1" readingOrder="1"/>
    </xf>
    <xf numFmtId="14" fontId="1" fillId="0" borderId="2" xfId="0" applyNumberFormat="1" applyFont="1" applyBorder="1" applyAlignment="1" applyProtection="1">
      <alignment horizontal="center" vertical="center" wrapText="1"/>
      <protection locked="0"/>
    </xf>
    <xf numFmtId="17" fontId="1" fillId="0" borderId="2" xfId="0" applyNumberFormat="1" applyFont="1" applyBorder="1" applyAlignment="1" applyProtection="1">
      <alignment horizontal="center" vertical="center" wrapText="1"/>
      <protection locked="0"/>
    </xf>
    <xf numFmtId="0" fontId="58" fillId="2" borderId="2" xfId="0" applyFont="1" applyFill="1" applyBorder="1" applyAlignment="1">
      <alignment horizontal="center" vertical="center" textRotation="90"/>
    </xf>
    <xf numFmtId="0" fontId="55" fillId="0" borderId="2" xfId="0" applyFont="1" applyBorder="1" applyAlignment="1" applyProtection="1">
      <alignment horizontal="justify" vertical="center"/>
      <protection locked="0"/>
    </xf>
    <xf numFmtId="0" fontId="55" fillId="0" borderId="2" xfId="0" applyFont="1" applyBorder="1" applyAlignment="1" applyProtection="1">
      <alignment horizontal="center" vertical="center"/>
      <protection hidden="1"/>
    </xf>
    <xf numFmtId="0" fontId="55" fillId="0" borderId="2" xfId="0" applyFont="1" applyBorder="1" applyAlignment="1" applyProtection="1">
      <alignment horizontal="center" vertical="center" textRotation="90"/>
      <protection locked="0"/>
    </xf>
    <xf numFmtId="9" fontId="55" fillId="0" borderId="2" xfId="0" applyNumberFormat="1" applyFont="1" applyBorder="1" applyAlignment="1" applyProtection="1">
      <alignment horizontal="center" vertical="center"/>
      <protection hidden="1"/>
    </xf>
    <xf numFmtId="164" fontId="55"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55" fillId="0" borderId="4" xfId="0" applyNumberFormat="1"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hidden="1"/>
    </xf>
    <xf numFmtId="0" fontId="55" fillId="0" borderId="4" xfId="0" applyFont="1" applyBorder="1" applyAlignment="1" applyProtection="1">
      <alignment horizontal="center" vertical="center" textRotation="90"/>
      <protection locked="0"/>
    </xf>
    <xf numFmtId="0" fontId="55" fillId="0" borderId="2" xfId="0" applyFont="1" applyBorder="1" applyAlignment="1" applyProtection="1">
      <alignment horizontal="center" vertical="center" wrapText="1"/>
      <protection locked="0"/>
    </xf>
    <xf numFmtId="14" fontId="55" fillId="0" borderId="2" xfId="0" applyNumberFormat="1" applyFont="1" applyBorder="1" applyAlignment="1" applyProtection="1">
      <alignment horizontal="center" vertical="center" wrapText="1"/>
      <protection locked="0"/>
    </xf>
    <xf numFmtId="14" fontId="55" fillId="0" borderId="2" xfId="0" applyNumberFormat="1" applyFont="1" applyBorder="1" applyAlignment="1" applyProtection="1">
      <alignment horizontal="center" vertical="center"/>
      <protection locked="0"/>
    </xf>
    <xf numFmtId="17" fontId="55" fillId="0" borderId="2" xfId="0" applyNumberFormat="1" applyFont="1" applyBorder="1" applyAlignment="1" applyProtection="1">
      <alignment horizontal="center" vertical="center" wrapText="1"/>
      <protection locked="0"/>
    </xf>
    <xf numFmtId="0" fontId="55" fillId="0" borderId="2" xfId="0" applyFont="1" applyBorder="1" applyAlignment="1">
      <alignment horizontal="center" vertical="center"/>
    </xf>
    <xf numFmtId="0" fontId="55" fillId="0" borderId="2" xfId="0" applyFont="1" applyBorder="1" applyAlignment="1" applyProtection="1">
      <alignment horizontal="center" vertical="center"/>
      <protection locked="0"/>
    </xf>
    <xf numFmtId="0" fontId="55" fillId="0" borderId="2" xfId="0" applyFont="1" applyBorder="1" applyAlignment="1" applyProtection="1">
      <alignment horizontal="justify" vertical="center" wrapText="1"/>
      <protection locked="0"/>
    </xf>
    <xf numFmtId="14" fontId="59" fillId="0" borderId="2" xfId="0" applyNumberFormat="1" applyFont="1" applyBorder="1" applyAlignment="1" applyProtection="1">
      <alignment horizontal="center" vertical="center" wrapText="1"/>
      <protection locked="0"/>
    </xf>
    <xf numFmtId="0" fontId="55" fillId="3" borderId="2" xfId="0" applyFont="1" applyFill="1" applyBorder="1" applyAlignment="1" applyProtection="1">
      <alignment horizontal="center" vertical="center" wrapText="1"/>
      <protection locked="0"/>
    </xf>
    <xf numFmtId="0" fontId="56" fillId="0" borderId="2" xfId="0" applyFont="1" applyBorder="1" applyAlignment="1" applyProtection="1">
      <alignment horizontal="justify" vertical="center"/>
      <protection locked="0"/>
    </xf>
    <xf numFmtId="0" fontId="1" fillId="13" borderId="2" xfId="0" applyFont="1" applyFill="1" applyBorder="1" applyAlignment="1" applyProtection="1">
      <alignment horizontal="center" vertical="center" wrapText="1"/>
      <protection locked="0"/>
    </xf>
    <xf numFmtId="0" fontId="1" fillId="13" borderId="2" xfId="0"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wrapText="1"/>
      <protection locked="0"/>
    </xf>
    <xf numFmtId="0" fontId="1" fillId="3" borderId="0" xfId="0" applyFont="1" applyFill="1" applyAlignment="1">
      <alignment vertical="center" wrapText="1"/>
    </xf>
    <xf numFmtId="0" fontId="1" fillId="17" borderId="2" xfId="0" applyFont="1" applyFill="1" applyBorder="1" applyAlignment="1" applyProtection="1">
      <alignment horizontal="center" vertical="center" wrapText="1"/>
      <protection locked="0"/>
    </xf>
    <xf numFmtId="14" fontId="1" fillId="13" borderId="2"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9" fontId="55" fillId="0" borderId="4" xfId="0" applyNumberFormat="1"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55" fillId="0" borderId="4"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9" fontId="55" fillId="0" borderId="4" xfId="0" applyNumberFormat="1"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0" fontId="55" fillId="0" borderId="4" xfId="0" applyFont="1" applyBorder="1" applyAlignment="1">
      <alignment horizontal="center" vertical="center"/>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7" fillId="3" borderId="6"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58" fillId="2" borderId="6" xfId="0" applyFont="1" applyFill="1" applyBorder="1" applyAlignment="1">
      <alignment horizontal="center" vertical="center"/>
    </xf>
    <xf numFmtId="0" fontId="58" fillId="2" borderId="10" xfId="0" applyFont="1" applyFill="1" applyBorder="1" applyAlignment="1">
      <alignment horizontal="center" vertical="center"/>
    </xf>
    <xf numFmtId="0" fontId="58" fillId="2" borderId="7"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7" fillId="3" borderId="6"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58" fillId="2" borderId="4"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3" xfId="0" applyFont="1" applyFill="1" applyBorder="1" applyAlignment="1">
      <alignment horizontal="center" vertical="center"/>
    </xf>
    <xf numFmtId="0" fontId="58" fillId="2" borderId="9" xfId="0" applyFont="1" applyFill="1" applyBorder="1" applyAlignment="1">
      <alignment horizontal="center" vertical="center"/>
    </xf>
    <xf numFmtId="0" fontId="58" fillId="2" borderId="2" xfId="0" applyFont="1" applyFill="1" applyBorder="1" applyAlignment="1">
      <alignment horizontal="center" vertical="center" wrapText="1"/>
    </xf>
    <xf numFmtId="0" fontId="58" fillId="2" borderId="4" xfId="0" applyFont="1" applyFill="1" applyBorder="1" applyAlignment="1">
      <alignment horizontal="center" vertical="center" textRotation="90" wrapText="1"/>
    </xf>
    <xf numFmtId="0" fontId="58" fillId="2" borderId="5" xfId="0" applyFont="1" applyFill="1" applyBorder="1" applyAlignment="1">
      <alignment horizontal="center" vertical="center" textRotation="90" wrapText="1"/>
    </xf>
    <xf numFmtId="0" fontId="58" fillId="2" borderId="4" xfId="0" applyFont="1" applyFill="1" applyBorder="1" applyAlignment="1">
      <alignment horizontal="center" vertical="center" textRotation="90"/>
    </xf>
    <xf numFmtId="0" fontId="58" fillId="2" borderId="5" xfId="0" applyFont="1" applyFill="1" applyBorder="1" applyAlignment="1">
      <alignment horizontal="center" vertical="center" textRotation="90"/>
    </xf>
    <xf numFmtId="0" fontId="58" fillId="2" borderId="2" xfId="0" applyFont="1" applyFill="1" applyBorder="1" applyAlignment="1">
      <alignment horizontal="center" vertical="center"/>
    </xf>
    <xf numFmtId="0" fontId="58" fillId="2" borderId="5" xfId="0" applyFont="1" applyFill="1" applyBorder="1" applyAlignment="1">
      <alignment horizontal="center" vertical="center"/>
    </xf>
    <xf numFmtId="0" fontId="58" fillId="2" borderId="8"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2" borderId="2" xfId="0" applyFont="1" applyFill="1" applyBorder="1" applyAlignment="1">
      <alignment horizontal="center" vertical="center" textRotation="90"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9" fontId="55" fillId="0" borderId="4" xfId="0" applyNumberFormat="1" applyFont="1" applyBorder="1" applyAlignment="1" applyProtection="1">
      <alignment horizontal="center" vertical="center" wrapText="1"/>
      <protection hidden="1"/>
    </xf>
    <xf numFmtId="9" fontId="55" fillId="0" borderId="8" xfId="0" applyNumberFormat="1"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9" fontId="55" fillId="0" borderId="4" xfId="0" applyNumberFormat="1" applyFont="1" applyBorder="1" applyAlignment="1" applyProtection="1">
      <alignment horizontal="center" vertical="center" wrapText="1"/>
      <protection locked="0"/>
    </xf>
    <xf numFmtId="9" fontId="55" fillId="0" borderId="8" xfId="0" applyNumberFormat="1"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55" fillId="0" borderId="8"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0" fontId="56" fillId="0" borderId="8"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55" fillId="0" borderId="4" xfId="0" applyFont="1" applyBorder="1" applyAlignment="1">
      <alignment horizontal="center" vertical="center"/>
    </xf>
    <xf numFmtId="0" fontId="55" fillId="0" borderId="8" xfId="0" applyFont="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60" fillId="2" borderId="4" xfId="0" applyFont="1" applyFill="1" applyBorder="1" applyAlignment="1">
      <alignment horizontal="center" vertical="center" textRotation="90"/>
    </xf>
    <xf numFmtId="0" fontId="60" fillId="2" borderId="5" xfId="0" applyFont="1" applyFill="1" applyBorder="1" applyAlignment="1">
      <alignment horizontal="center" vertical="center" textRotation="90"/>
    </xf>
    <xf numFmtId="0" fontId="59" fillId="0" borderId="4" xfId="0" applyFont="1" applyBorder="1" applyAlignment="1">
      <alignment horizontal="center" vertical="center"/>
    </xf>
    <xf numFmtId="0" fontId="59" fillId="0" borderId="8" xfId="0" applyFont="1" applyBorder="1" applyAlignment="1">
      <alignment horizontal="center" vertical="center"/>
    </xf>
    <xf numFmtId="0" fontId="58" fillId="16" borderId="4" xfId="0" applyFont="1" applyFill="1" applyBorder="1" applyAlignment="1">
      <alignment horizontal="center" vertical="center" wrapText="1"/>
    </xf>
    <xf numFmtId="0" fontId="58" fillId="16" borderId="5" xfId="0" applyFont="1" applyFill="1" applyBorder="1" applyAlignment="1">
      <alignment horizontal="center" vertical="center" wrapText="1"/>
    </xf>
    <xf numFmtId="0" fontId="46" fillId="14" borderId="48" xfId="2" applyFont="1" applyFill="1" applyBorder="1" applyAlignment="1">
      <alignment horizontal="center" vertical="center" wrapText="1"/>
    </xf>
    <xf numFmtId="0" fontId="46" fillId="14" borderId="49" xfId="2" applyFont="1" applyFill="1" applyBorder="1" applyAlignment="1">
      <alignment horizontal="center" vertical="center" wrapText="1"/>
    </xf>
    <xf numFmtId="0" fontId="46" fillId="14" borderId="50" xfId="2" applyFont="1" applyFill="1" applyBorder="1" applyAlignment="1">
      <alignment horizontal="center" vertical="center" wrapText="1"/>
    </xf>
    <xf numFmtId="0" fontId="45" fillId="0" borderId="14" xfId="2" quotePrefix="1" applyFont="1" applyBorder="1" applyAlignment="1">
      <alignment horizontal="left" vertical="center" wrapText="1"/>
    </xf>
    <xf numFmtId="0" fontId="45" fillId="0" borderId="0" xfId="2" quotePrefix="1" applyFont="1" applyAlignment="1">
      <alignment horizontal="left" vertical="center" wrapText="1"/>
    </xf>
    <xf numFmtId="0" fontId="45" fillId="0" borderId="15" xfId="2" quotePrefix="1" applyFont="1" applyBorder="1" applyAlignment="1">
      <alignment horizontal="left" vertical="center" wrapText="1"/>
    </xf>
    <xf numFmtId="0" fontId="45" fillId="0" borderId="68" xfId="2" quotePrefix="1" applyFont="1" applyBorder="1" applyAlignment="1">
      <alignment horizontal="left" vertical="center" wrapText="1"/>
    </xf>
    <xf numFmtId="0" fontId="45" fillId="0" borderId="69" xfId="2" quotePrefix="1" applyFont="1" applyBorder="1" applyAlignment="1">
      <alignment horizontal="left" vertical="center" wrapText="1"/>
    </xf>
    <xf numFmtId="0" fontId="45" fillId="0" borderId="70" xfId="2" quotePrefix="1" applyFont="1" applyBorder="1" applyAlignment="1">
      <alignment horizontal="left" vertical="center" wrapText="1"/>
    </xf>
    <xf numFmtId="0" fontId="47" fillId="3" borderId="51" xfId="2" quotePrefix="1" applyFont="1" applyFill="1" applyBorder="1" applyAlignment="1">
      <alignment horizontal="left" vertical="top" wrapText="1"/>
    </xf>
    <xf numFmtId="0" fontId="48" fillId="3" borderId="52" xfId="2" quotePrefix="1" applyFont="1" applyFill="1" applyBorder="1" applyAlignment="1">
      <alignment horizontal="left" vertical="top" wrapText="1"/>
    </xf>
    <xf numFmtId="0" fontId="48" fillId="3" borderId="53" xfId="2" quotePrefix="1" applyFont="1" applyFill="1" applyBorder="1" applyAlignment="1">
      <alignment horizontal="left" vertical="top" wrapText="1"/>
    </xf>
    <xf numFmtId="0" fontId="45" fillId="0" borderId="14" xfId="2" quotePrefix="1" applyFont="1" applyBorder="1" applyAlignment="1">
      <alignment horizontal="left" vertical="top" wrapText="1"/>
    </xf>
    <xf numFmtId="0" fontId="45" fillId="0" borderId="0" xfId="2" quotePrefix="1" applyFont="1" applyAlignment="1">
      <alignment horizontal="left" vertical="top" wrapText="1"/>
    </xf>
    <xf numFmtId="0" fontId="45" fillId="0" borderId="15" xfId="2" quotePrefix="1" applyFont="1" applyBorder="1" applyAlignment="1">
      <alignment horizontal="left" vertical="top" wrapText="1"/>
    </xf>
    <xf numFmtId="0" fontId="50" fillId="14" borderId="54" xfId="3" applyFont="1" applyFill="1" applyBorder="1" applyAlignment="1">
      <alignment horizontal="center" vertical="center" wrapText="1"/>
    </xf>
    <xf numFmtId="0" fontId="50" fillId="14" borderId="55" xfId="3" applyFont="1" applyFill="1" applyBorder="1" applyAlignment="1">
      <alignment horizontal="center" vertical="center" wrapText="1"/>
    </xf>
    <xf numFmtId="0" fontId="50" fillId="14" borderId="56" xfId="2" applyFont="1" applyFill="1" applyBorder="1" applyAlignment="1">
      <alignment horizontal="center" vertical="center"/>
    </xf>
    <xf numFmtId="0" fontId="50"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0" fillId="3" borderId="58" xfId="3" applyFont="1" applyFill="1" applyBorder="1" applyAlignment="1">
      <alignment horizontal="left" vertical="top" wrapText="1" readingOrder="1"/>
    </xf>
    <xf numFmtId="0" fontId="50" fillId="3" borderId="59" xfId="3" applyFont="1" applyFill="1" applyBorder="1" applyAlignment="1">
      <alignment horizontal="left" vertical="top" wrapText="1" readingOrder="1"/>
    </xf>
    <xf numFmtId="0" fontId="51" fillId="3" borderId="60" xfId="2" applyFont="1" applyFill="1" applyBorder="1" applyAlignment="1">
      <alignment horizontal="justify" vertical="center" wrapText="1"/>
    </xf>
    <xf numFmtId="0" fontId="51" fillId="3" borderId="61" xfId="2" applyFont="1" applyFill="1" applyBorder="1" applyAlignment="1">
      <alignment horizontal="justify" vertical="center" wrapText="1"/>
    </xf>
    <xf numFmtId="0" fontId="50" fillId="3" borderId="62" xfId="0" applyFont="1" applyFill="1" applyBorder="1" applyAlignment="1">
      <alignment horizontal="left" vertical="center" wrapText="1"/>
    </xf>
    <xf numFmtId="0" fontId="50" fillId="3" borderId="63" xfId="0" applyFont="1" applyFill="1" applyBorder="1" applyAlignment="1">
      <alignment horizontal="left" vertical="center" wrapText="1"/>
    </xf>
    <xf numFmtId="0" fontId="51" fillId="3" borderId="64" xfId="2" applyFont="1" applyFill="1" applyBorder="1" applyAlignment="1">
      <alignment horizontal="justify" vertical="center" wrapText="1"/>
    </xf>
    <xf numFmtId="0" fontId="51" fillId="3" borderId="65" xfId="2" applyFont="1" applyFill="1" applyBorder="1" applyAlignment="1">
      <alignment horizontal="justify" vertical="center" wrapText="1"/>
    </xf>
    <xf numFmtId="0" fontId="45" fillId="3" borderId="14" xfId="2" applyFont="1" applyFill="1" applyBorder="1" applyAlignment="1">
      <alignment horizontal="left" vertical="top" wrapText="1"/>
    </xf>
    <xf numFmtId="0" fontId="45" fillId="3" borderId="0" xfId="2" applyFont="1" applyFill="1" applyAlignment="1">
      <alignment horizontal="left" vertical="top" wrapText="1"/>
    </xf>
    <xf numFmtId="0" fontId="45" fillId="3" borderId="15" xfId="2" applyFont="1" applyFill="1" applyBorder="1" applyAlignment="1">
      <alignment horizontal="left" vertical="top" wrapText="1"/>
    </xf>
    <xf numFmtId="0" fontId="50" fillId="3" borderId="71" xfId="0" applyFont="1" applyFill="1" applyBorder="1" applyAlignment="1">
      <alignment horizontal="left" vertical="center" wrapText="1"/>
    </xf>
    <xf numFmtId="0" fontId="50" fillId="3" borderId="72" xfId="0" applyFont="1" applyFill="1" applyBorder="1" applyAlignment="1">
      <alignment horizontal="left" vertical="center" wrapText="1"/>
    </xf>
    <xf numFmtId="0" fontId="50" fillId="3" borderId="73" xfId="0" applyFont="1" applyFill="1" applyBorder="1" applyAlignment="1">
      <alignment horizontal="left" vertical="center" wrapText="1"/>
    </xf>
    <xf numFmtId="0" fontId="50" fillId="3" borderId="74" xfId="0" applyFont="1" applyFill="1" applyBorder="1" applyAlignment="1">
      <alignment horizontal="left" vertical="center" wrapText="1"/>
    </xf>
    <xf numFmtId="0" fontId="51" fillId="3" borderId="66" xfId="0" applyFont="1" applyFill="1" applyBorder="1" applyAlignment="1">
      <alignment horizontal="justify" vertical="center" wrapText="1"/>
    </xf>
    <xf numFmtId="0" fontId="51" fillId="3" borderId="67" xfId="0" applyFont="1" applyFill="1" applyBorder="1" applyAlignment="1">
      <alignment horizontal="justify" vertical="center" wrapText="1"/>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39" fillId="0" borderId="12" xfId="0" applyFont="1" applyBorder="1" applyAlignment="1">
      <alignment horizontal="center" vertical="center" wrapText="1"/>
    </xf>
    <xf numFmtId="0" fontId="39" fillId="0" borderId="19"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0" xfId="0" applyFont="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wrapText="1"/>
    </xf>
    <xf numFmtId="0" fontId="38" fillId="11" borderId="20" xfId="0" applyFont="1" applyFill="1" applyBorder="1" applyAlignment="1">
      <alignment horizontal="center" vertical="center" wrapText="1" readingOrder="1"/>
    </xf>
    <xf numFmtId="0" fontId="38" fillId="11" borderId="21" xfId="0" applyFont="1" applyFill="1" applyBorder="1" applyAlignment="1">
      <alignment horizontal="center" vertical="center" wrapText="1" readingOrder="1"/>
    </xf>
    <xf numFmtId="0" fontId="38" fillId="11" borderId="22" xfId="0" applyFont="1" applyFill="1" applyBorder="1" applyAlignment="1">
      <alignment horizontal="center" vertical="center" wrapText="1" readingOrder="1"/>
    </xf>
    <xf numFmtId="0" fontId="38" fillId="11" borderId="23" xfId="0" applyFont="1" applyFill="1" applyBorder="1" applyAlignment="1">
      <alignment horizontal="center" vertical="center" wrapText="1" readingOrder="1"/>
    </xf>
    <xf numFmtId="0" fontId="38" fillId="11" borderId="0" xfId="0" applyFont="1" applyFill="1" applyAlignment="1">
      <alignment horizontal="center" vertical="center" wrapText="1" readingOrder="1"/>
    </xf>
    <xf numFmtId="0" fontId="38" fillId="11" borderId="24" xfId="0" applyFont="1" applyFill="1" applyBorder="1" applyAlignment="1">
      <alignment horizontal="center" vertical="center" wrapText="1" readingOrder="1"/>
    </xf>
    <xf numFmtId="0" fontId="38" fillId="11" borderId="25" xfId="0" applyFont="1" applyFill="1" applyBorder="1" applyAlignment="1">
      <alignment horizontal="center" vertical="center" wrapText="1" readingOrder="1"/>
    </xf>
    <xf numFmtId="0" fontId="38" fillId="11" borderId="26" xfId="0" applyFont="1" applyFill="1" applyBorder="1" applyAlignment="1">
      <alignment horizontal="center" vertical="center" wrapText="1" readingOrder="1"/>
    </xf>
    <xf numFmtId="0" fontId="38" fillId="11" borderId="27" xfId="0" applyFont="1" applyFill="1" applyBorder="1" applyAlignment="1">
      <alignment horizontal="center" vertical="center" wrapText="1" readingOrder="1"/>
    </xf>
    <xf numFmtId="0" fontId="39" fillId="0" borderId="14" xfId="0" applyFont="1" applyBorder="1" applyAlignment="1">
      <alignment horizontal="center" vertical="center" wrapText="1"/>
    </xf>
    <xf numFmtId="0" fontId="38" fillId="12" borderId="20" xfId="0" applyFont="1" applyFill="1" applyBorder="1" applyAlignment="1">
      <alignment horizontal="center" vertical="center" wrapText="1" readingOrder="1"/>
    </xf>
    <xf numFmtId="0" fontId="38" fillId="12" borderId="21" xfId="0" applyFont="1" applyFill="1" applyBorder="1" applyAlignment="1">
      <alignment horizontal="center" vertical="center" wrapText="1" readingOrder="1"/>
    </xf>
    <xf numFmtId="0" fontId="38" fillId="12" borderId="22" xfId="0" applyFont="1" applyFill="1" applyBorder="1" applyAlignment="1">
      <alignment horizontal="center" vertical="center" wrapText="1" readingOrder="1"/>
    </xf>
    <xf numFmtId="0" fontId="38" fillId="12" borderId="23" xfId="0" applyFont="1" applyFill="1" applyBorder="1" applyAlignment="1">
      <alignment horizontal="center" vertical="center" wrapText="1" readingOrder="1"/>
    </xf>
    <xf numFmtId="0" fontId="38" fillId="12" borderId="0" xfId="0" applyFont="1" applyFill="1" applyAlignment="1">
      <alignment horizontal="center" vertical="center" wrapText="1" readingOrder="1"/>
    </xf>
    <xf numFmtId="0" fontId="38" fillId="12" borderId="24" xfId="0" applyFont="1" applyFill="1" applyBorder="1" applyAlignment="1">
      <alignment horizontal="center" vertical="center" wrapText="1" readingOrder="1"/>
    </xf>
    <xf numFmtId="0" fontId="38" fillId="12" borderId="25" xfId="0" applyFont="1" applyFill="1" applyBorder="1" applyAlignment="1">
      <alignment horizontal="center" vertical="center" wrapText="1" readingOrder="1"/>
    </xf>
    <xf numFmtId="0" fontId="38" fillId="12" borderId="26" xfId="0" applyFont="1" applyFill="1" applyBorder="1" applyAlignment="1">
      <alignment horizontal="center" vertical="center" wrapText="1" readingOrder="1"/>
    </xf>
    <xf numFmtId="0" fontId="38" fillId="12" borderId="27" xfId="0" applyFont="1" applyFill="1" applyBorder="1" applyAlignment="1">
      <alignment horizontal="center" vertical="center" wrapText="1" readingOrder="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38" fillId="5" borderId="20" xfId="0" applyFont="1" applyFill="1" applyBorder="1" applyAlignment="1">
      <alignment horizontal="center" vertical="center" wrapText="1" readingOrder="1"/>
    </xf>
    <xf numFmtId="0" fontId="38" fillId="5" borderId="21" xfId="0" applyFont="1" applyFill="1" applyBorder="1" applyAlignment="1">
      <alignment horizontal="center" vertical="center" wrapText="1" readingOrder="1"/>
    </xf>
    <xf numFmtId="0" fontId="38" fillId="5" borderId="22" xfId="0" applyFont="1" applyFill="1" applyBorder="1" applyAlignment="1">
      <alignment horizontal="center" vertical="center" wrapText="1" readingOrder="1"/>
    </xf>
    <xf numFmtId="0" fontId="38" fillId="5" borderId="23" xfId="0" applyFont="1" applyFill="1" applyBorder="1" applyAlignment="1">
      <alignment horizontal="center" vertical="center" wrapText="1" readingOrder="1"/>
    </xf>
    <xf numFmtId="0" fontId="38" fillId="5" borderId="0" xfId="0" applyFont="1" applyFill="1" applyAlignment="1">
      <alignment horizontal="center" vertical="center" wrapText="1" readingOrder="1"/>
    </xf>
    <xf numFmtId="0" fontId="38" fillId="5" borderId="24" xfId="0" applyFont="1" applyFill="1" applyBorder="1" applyAlignment="1">
      <alignment horizontal="center" vertical="center" wrapText="1" readingOrder="1"/>
    </xf>
    <xf numFmtId="0" fontId="38" fillId="5" borderId="25" xfId="0" applyFont="1" applyFill="1" applyBorder="1" applyAlignment="1">
      <alignment horizontal="center" vertical="center" wrapText="1" readingOrder="1"/>
    </xf>
    <xf numFmtId="0" fontId="38" fillId="5" borderId="26" xfId="0" applyFont="1" applyFill="1" applyBorder="1" applyAlignment="1">
      <alignment horizontal="center" vertical="center" wrapText="1" readingOrder="1"/>
    </xf>
    <xf numFmtId="0" fontId="38" fillId="5" borderId="27" xfId="0" applyFont="1" applyFill="1" applyBorder="1" applyAlignment="1">
      <alignment horizontal="center" vertical="center" wrapText="1" readingOrder="1"/>
    </xf>
    <xf numFmtId="0" fontId="38" fillId="13" borderId="20" xfId="0" applyFont="1" applyFill="1" applyBorder="1" applyAlignment="1">
      <alignment horizontal="center" vertical="center" wrapText="1" readingOrder="1"/>
    </xf>
    <xf numFmtId="0" fontId="38" fillId="13" borderId="21" xfId="0" applyFont="1" applyFill="1" applyBorder="1" applyAlignment="1">
      <alignment horizontal="center" vertical="center" wrapText="1" readingOrder="1"/>
    </xf>
    <xf numFmtId="0" fontId="38" fillId="13" borderId="22" xfId="0" applyFont="1" applyFill="1" applyBorder="1" applyAlignment="1">
      <alignment horizontal="center" vertical="center" wrapText="1" readingOrder="1"/>
    </xf>
    <xf numFmtId="0" fontId="38" fillId="13" borderId="23" xfId="0" applyFont="1" applyFill="1" applyBorder="1" applyAlignment="1">
      <alignment horizontal="center" vertical="center" wrapText="1" readingOrder="1"/>
    </xf>
    <xf numFmtId="0" fontId="38" fillId="13" borderId="0" xfId="0" applyFont="1" applyFill="1" applyAlignment="1">
      <alignment horizontal="center" vertical="center" wrapText="1" readingOrder="1"/>
    </xf>
    <xf numFmtId="0" fontId="38" fillId="13" borderId="24" xfId="0" applyFont="1" applyFill="1" applyBorder="1" applyAlignment="1">
      <alignment horizontal="center" vertical="center" wrapText="1" readingOrder="1"/>
    </xf>
    <xf numFmtId="0" fontId="38" fillId="13" borderId="25" xfId="0" applyFont="1" applyFill="1" applyBorder="1" applyAlignment="1">
      <alignment horizontal="center" vertical="center" wrapText="1" readingOrder="1"/>
    </xf>
    <xf numFmtId="0" fontId="38" fillId="13" borderId="26" xfId="0" applyFont="1" applyFill="1" applyBorder="1" applyAlignment="1">
      <alignment horizontal="center" vertical="center" wrapText="1" readingOrder="1"/>
    </xf>
    <xf numFmtId="0" fontId="38"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1" fillId="0" borderId="0" xfId="0" applyFont="1" applyAlignment="1">
      <alignment horizontal="center" vertical="center"/>
    </xf>
    <xf numFmtId="0" fontId="36" fillId="15" borderId="3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6" fillId="15" borderId="47"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44" xfId="0" applyFont="1" applyFill="1" applyBorder="1" applyAlignment="1">
      <alignment horizontal="center" vertical="center" wrapText="1" readingOrder="1"/>
    </xf>
    <xf numFmtId="0" fontId="33" fillId="15" borderId="45" xfId="0" applyFont="1" applyFill="1" applyBorder="1" applyAlignment="1">
      <alignment horizontal="center" vertical="center" wrapText="1" readingOrder="1"/>
    </xf>
    <xf numFmtId="0" fontId="33" fillId="3" borderId="42" xfId="0" applyFont="1" applyFill="1" applyBorder="1" applyAlignment="1">
      <alignment horizontal="center" vertical="center" wrapText="1" readingOrder="1"/>
    </xf>
    <xf numFmtId="0" fontId="33" fillId="3" borderId="37" xfId="0" applyFont="1" applyFill="1" applyBorder="1" applyAlignment="1">
      <alignment horizontal="center" vertical="center" wrapText="1" readingOrder="1"/>
    </xf>
    <xf numFmtId="0" fontId="33" fillId="3" borderId="34" xfId="0" applyFont="1" applyFill="1" applyBorder="1" applyAlignment="1">
      <alignment horizontal="center" vertical="center" wrapText="1" readingOrder="1"/>
    </xf>
    <xf numFmtId="0" fontId="33" fillId="3" borderId="33" xfId="0" applyFont="1" applyFill="1" applyBorder="1" applyAlignment="1">
      <alignment horizontal="center" vertical="center" wrapText="1" readingOrder="1"/>
    </xf>
    <xf numFmtId="0" fontId="33" fillId="3" borderId="39" xfId="0" applyFont="1" applyFill="1" applyBorder="1" applyAlignment="1">
      <alignment horizontal="center" vertical="center" wrapText="1" readingOrder="1"/>
    </xf>
    <xf numFmtId="0" fontId="33" fillId="3" borderId="40" xfId="0" applyFont="1" applyFill="1" applyBorder="1" applyAlignment="1">
      <alignment horizontal="center" vertical="center" wrapText="1" readingOrder="1"/>
    </xf>
    <xf numFmtId="0" fontId="55" fillId="0" borderId="2" xfId="0" applyFont="1" applyBorder="1" applyAlignment="1" applyProtection="1">
      <alignment horizontal="left"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436">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pivotCacheDefinition" Target="pivotCache/pivotCacheDefinition1.xml"/><Relationship Id="rId20" Type="http://schemas.openxmlformats.org/officeDocument/2006/relationships/worksheet" Target="worksheets/sheet20.xml"/><Relationship Id="rId4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Desktop/INCI/Riesgo/Riesgo%20con%20proceso/Direccionamiento%20Estrategic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ngelica/Desktop/INCI/Riesgo/Riesgo%20con%20proceso/Gestion%20Contractu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ngelica/Desktop/Carpetas/INCI/Riesgos/Riesgos%20publicados%20en%20web/Matriz%20de%20riesgo%20de%20la%20defensa%20jurdica%20INC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ngelica/Desktop/INCI/Riesgo/Riesgo%20con%20proceso/Gestion%20Human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ngelica/Desktop/INCI/Riesgo/Riesgo%20con%20proceso/Financier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ngelica/Desktop/INCI/Riesgo/Riesgo%20con%20proceso/Evaluacion%20y%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Desktop/INCI/Riesgo/Riesgo%20con%20proceso/Comunicacion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ca/Desktop/INCI/Riesgo/Riesgo%20con%20proceso/Asistencia%20Tec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gelica/Desktop/INCI/Riesgo/Riesgo%20con%20proceso/Centro%20Cultur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ngelica/Desktop/INCI/Riesgo/Riesgo%20con%20proceso/Unidades%20Producti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ngelica/Desktop/INCI/Riesgo/Riesgo%20con%20proceso/Produccion%20Radial%20y%20Audiovisu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ngelica/Desktop/INCI/Riesgo/Riesgo%20con%20proceso/Gestion%20Document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ngelica/Desktop/INCI/Riesgo/Riesgo%20con%20proceso/Servicio%20al%20Ciudadan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ngelica/Desktop/INCI/Riesgo/Riesgo%20con%20proceso/Informatica%20y%20Tecnolog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Gestion Juridica"/>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3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435" dataDxfId="434">
  <autoFilter ref="B209:C219" xr:uid="{00000000-0009-0000-0100-000001000000}"/>
  <tableColumns count="2">
    <tableColumn id="1" xr3:uid="{00000000-0010-0000-0000-000001000000}" name="Criterios" dataDxfId="433"/>
    <tableColumn id="2" xr3:uid="{00000000-0010-0000-0000-000002000000}" name="Subcriterios" dataDxfId="43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0.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2060"/>
  </sheetPr>
  <dimension ref="A1:BP15"/>
  <sheetViews>
    <sheetView tabSelected="1" zoomScale="60" zoomScaleNormal="60" workbookViewId="0">
      <selection activeCell="A10" sqref="A10:A12"/>
    </sheetView>
  </sheetViews>
  <sheetFormatPr baseColWidth="10" defaultColWidth="11.42578125" defaultRowHeight="16.5" x14ac:dyDescent="0.3"/>
  <cols>
    <col min="1" max="1" width="4" style="2" bestFit="1" customWidth="1"/>
    <col min="2" max="2" width="14.140625" style="2" customWidth="1"/>
    <col min="3" max="3" width="17.425781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140625" style="1" bestFit="1" customWidth="1"/>
    <col min="11" max="11" width="30.5703125" style="1" customWidth="1"/>
    <col min="12" max="12" width="17.5703125" style="1" customWidth="1"/>
    <col min="13" max="13" width="7.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234</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84" t="s">
        <v>235</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236</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13"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13"/>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1">
        <v>1</v>
      </c>
      <c r="B10" s="237" t="s">
        <v>89</v>
      </c>
      <c r="C10" s="237" t="s">
        <v>237</v>
      </c>
      <c r="D10" s="237" t="s">
        <v>361</v>
      </c>
      <c r="E10" s="239" t="s">
        <v>401</v>
      </c>
      <c r="F10" s="237" t="s">
        <v>412</v>
      </c>
      <c r="G10" s="231">
        <f>12*18</f>
        <v>216</v>
      </c>
      <c r="H10" s="233" t="str">
        <f>IF(G10&lt;=0,"",IF(G10&lt;=2,"Muy Baja",IF(G10&lt;=24,"Baja",IF(G10&lt;=500,"Media",IF(G10&lt;=5000,"Alta","Muy Alta")))))</f>
        <v>Media</v>
      </c>
      <c r="I10" s="217">
        <f>IF(H10="","",IF(H10="Muy Baja",0.2,IF(H10="Baja",0.4,IF(H10="Media",0.6,IF(H10="Alta",0.8,IF(H10="Muy Alta",1,))))))</f>
        <v>0.6</v>
      </c>
      <c r="J10" s="235" t="s">
        <v>101</v>
      </c>
      <c r="K10" s="217" t="str">
        <f>IF(NOT(ISERROR(MATCH(J10,'[1]Tabla Impacto'!$B$221:$B$223,0))),'[1]Tabla Impacto'!$F$223&amp;"Por favor no seleccionar los criterios de impacto(Afectación Económica o presupuestal y Pérdida Reputacional)",J10)</f>
        <v xml:space="preserve">     El riesgo afecta la imagen de la entidad a nivel nacional, con efecto publicitarios sostenible a nivel país</v>
      </c>
      <c r="L10" s="233" t="str">
        <f>IF(OR(K10='[1]Tabla Impacto'!$C$11,K10='[1]Tabla Impacto'!$D$11),"Leve",IF(OR(K10='[1]Tabla Impacto'!$C$12,K10='[1]Tabla Impacto'!$D$12),"Menor",IF(OR(K10='[1]Tabla Impacto'!$C$13,K10='[1]Tabla Impacto'!$D$13),"Moderado",IF(OR(K10='[1]Tabla Impacto'!$C$14,K10='[1]Tabla Impacto'!$D$14),"Mayor",IF(OR(K10='[1]Tabla Impacto'!$C$15,K10='[1]Tabla Impacto'!$D$15),"Catastrófico","")))))</f>
        <v>Catastrófico</v>
      </c>
      <c r="M10" s="217">
        <f>IF(L10="","",IF(L10="Leve",0.2,IF(L10="Menor",0.4,IF(L10="Moderado",0.6,IF(L10="Mayor",0.8,IF(L10="Catastrófico",1,))))))</f>
        <v>1</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Extremo</v>
      </c>
      <c r="O10" s="6">
        <v>1</v>
      </c>
      <c r="P10" s="158" t="s">
        <v>376</v>
      </c>
      <c r="Q10" s="141" t="str">
        <f t="shared" ref="Q10:Q12" si="0">IF(OR(R10="Preventivo",R10="Detectivo"),"Probabilidad",IF(R10="Correctivo","Impacto",""))</f>
        <v>Probabilidad</v>
      </c>
      <c r="R10" s="142" t="s">
        <v>92</v>
      </c>
      <c r="S10" s="142" t="s">
        <v>93</v>
      </c>
      <c r="T10" s="143" t="str">
        <f t="shared" ref="T10:T12"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0.36</v>
      </c>
      <c r="Y10" s="145" t="str">
        <f>IFERROR(IF(X10="","",IF(X10&lt;=0.2,"Muy Baja",IF(X10&lt;=0.4,"Baja",IF(X10&lt;=0.6,"Media",IF(X10&lt;=0.8,"Alta","Muy Alta"))))),"")</f>
        <v>Baja</v>
      </c>
      <c r="Z10" s="146">
        <f t="shared" ref="Z10:Z12" si="2">+X10</f>
        <v>0.36</v>
      </c>
      <c r="AA10" s="145" t="str">
        <f>IFERROR(IF(AB10="","",IF(AB10&lt;=0.2,"Leve",IF(AB10&lt;=0.4,"Menor",IF(AB10&lt;=0.6,"Moderado",IF(AB10&lt;=0.8,"Mayor","Catastrófico"))))),"")</f>
        <v>Catastrófico</v>
      </c>
      <c r="AB10" s="146">
        <f>IFERROR(IF(Q10="Impacto",(M10-(+M10*T10)),IF(Q10="Probabilidad",M10,"")),"")</f>
        <v>1</v>
      </c>
      <c r="AC10" s="147" t="str">
        <f t="shared" ref="AC10:AC12"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Extremo</v>
      </c>
      <c r="AD10" s="148" t="s">
        <v>97</v>
      </c>
      <c r="AE10" s="140" t="s">
        <v>328</v>
      </c>
      <c r="AF10" s="149" t="s">
        <v>238</v>
      </c>
      <c r="AG10" s="152" t="s">
        <v>454</v>
      </c>
      <c r="AH10" s="150" t="s">
        <v>328</v>
      </c>
      <c r="AI10" s="149" t="s">
        <v>387</v>
      </c>
      <c r="AJ10" s="149"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2"/>
      <c r="B11" s="238"/>
      <c r="C11" s="238"/>
      <c r="D11" s="238"/>
      <c r="E11" s="240"/>
      <c r="F11" s="238"/>
      <c r="G11" s="232"/>
      <c r="H11" s="234"/>
      <c r="I11" s="218"/>
      <c r="J11" s="236"/>
      <c r="K11" s="218">
        <f ca="1">IF(NOT(ISERROR(MATCH(J11,_xlfn.ANCHORARRAY(#REF!),0))),#REF!&amp;"Por favor no seleccionar los criterios de impacto",J11)</f>
        <v>0</v>
      </c>
      <c r="L11" s="234"/>
      <c r="M11" s="218"/>
      <c r="N11" s="220"/>
      <c r="O11" s="6">
        <v>2</v>
      </c>
      <c r="P11" s="158" t="s">
        <v>429</v>
      </c>
      <c r="Q11" s="141" t="str">
        <f t="shared" si="0"/>
        <v>Probabilidad</v>
      </c>
      <c r="R11" s="142" t="s">
        <v>98</v>
      </c>
      <c r="S11" s="142" t="s">
        <v>93</v>
      </c>
      <c r="T11" s="143" t="str">
        <f t="shared" si="1"/>
        <v>30%</v>
      </c>
      <c r="U11" s="142" t="s">
        <v>94</v>
      </c>
      <c r="V11" s="142" t="s">
        <v>95</v>
      </c>
      <c r="W11" s="142" t="s">
        <v>96</v>
      </c>
      <c r="X11" s="144">
        <f>IFERROR(IF(AND(Q10="Probabilidad",Q11="Probabilidad"),(Z10-(+Z10*T11)),IF(Q11="Probabilidad",(I10-(+I10*T11)),IF(Q11="Impacto",Z10,""))),"")</f>
        <v>0.252</v>
      </c>
      <c r="Y11" s="145" t="str">
        <f t="shared" ref="Y11:Y12" si="4">IFERROR(IF(X11="","",IF(X11&lt;=0.2,"Muy Baja",IF(X11&lt;=0.4,"Baja",IF(X11&lt;=0.6,"Media",IF(X11&lt;=0.8,"Alta","Muy Alta"))))),"")</f>
        <v>Baja</v>
      </c>
      <c r="Z11" s="146">
        <f t="shared" si="2"/>
        <v>0.252</v>
      </c>
      <c r="AA11" s="145" t="str">
        <f t="shared" ref="AA11:AA12" si="5">IFERROR(IF(AB11="","",IF(AB11&lt;=0.2,"Leve",IF(AB11&lt;=0.4,"Menor",IF(AB11&lt;=0.6,"Moderado",IF(AB11&lt;=0.8,"Mayor","Catastrófico"))))),"")</f>
        <v>Catastrófico</v>
      </c>
      <c r="AB11" s="146">
        <f>IFERROR(IF(AND(Q10="Impacto",Q11="Impacto"),(AB10-(+AB10*T11)),IF(Q11="Impacto",($M$10-(+$M$10*T11)),IF(Q11="Probabilidad",AB10,""))),"")</f>
        <v>1</v>
      </c>
      <c r="AC11" s="147" t="str">
        <f t="shared" si="3"/>
        <v>Extremo</v>
      </c>
      <c r="AD11" s="148" t="s">
        <v>97</v>
      </c>
      <c r="AE11" s="140" t="s">
        <v>402</v>
      </c>
      <c r="AF11" s="149" t="s">
        <v>238</v>
      </c>
      <c r="AG11" s="149" t="s">
        <v>455</v>
      </c>
      <c r="AH11" s="150" t="s">
        <v>456</v>
      </c>
      <c r="AI11" s="149" t="s">
        <v>389</v>
      </c>
      <c r="AJ11" s="149" t="s">
        <v>388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2"/>
      <c r="B12" s="238"/>
      <c r="C12" s="238"/>
      <c r="D12" s="238"/>
      <c r="E12" s="240"/>
      <c r="F12" s="238"/>
      <c r="G12" s="232"/>
      <c r="H12" s="234"/>
      <c r="I12" s="218"/>
      <c r="J12" s="236"/>
      <c r="K12" s="218">
        <f ca="1">IF(NOT(ISERROR(MATCH(J12,_xlfn.ANCHORARRAY(#REF!),0))),#REF!&amp;"Por favor no seleccionar los criterios de impacto",J12)</f>
        <v>0</v>
      </c>
      <c r="L12" s="234"/>
      <c r="M12" s="218"/>
      <c r="N12" s="220"/>
      <c r="O12" s="6">
        <v>3</v>
      </c>
      <c r="P12" s="158" t="s">
        <v>377</v>
      </c>
      <c r="Q12" s="141" t="str">
        <f t="shared" si="0"/>
        <v>Impacto</v>
      </c>
      <c r="R12" s="142" t="s">
        <v>99</v>
      </c>
      <c r="S12" s="142" t="s">
        <v>93</v>
      </c>
      <c r="T12" s="143" t="str">
        <f t="shared" si="1"/>
        <v>25%</v>
      </c>
      <c r="U12" s="142" t="s">
        <v>94</v>
      </c>
      <c r="V12" s="142" t="s">
        <v>100</v>
      </c>
      <c r="W12" s="142" t="s">
        <v>96</v>
      </c>
      <c r="X12" s="144">
        <f>IFERROR(IF(AND(Q11="Probabilidad",Q12="Probabilidad"),(Z11-(+Z11*T12)),IF(AND(Q11="Impacto",Q12="Probabilidad"),(Z10-(+Z10*T12)),IF(Q12="Impacto",Z11,""))),"")</f>
        <v>0.252</v>
      </c>
      <c r="Y12" s="145" t="str">
        <f t="shared" si="4"/>
        <v>Baja</v>
      </c>
      <c r="Z12" s="146">
        <f t="shared" si="2"/>
        <v>0.252</v>
      </c>
      <c r="AA12" s="145" t="str">
        <f t="shared" si="5"/>
        <v>Mayor</v>
      </c>
      <c r="AB12" s="146">
        <f>IFERROR(IF(AND(Q11="Impacto",Q12="Impacto"),(AB11-(+AB11*T12)),IF(AND(Q11="Probabilidad",Q12="Impacto"),(AB10-(+AB10*T12)),IF(Q12="Probabilidad",AB11,""))),"")</f>
        <v>0.75</v>
      </c>
      <c r="AC12" s="147" t="str">
        <f t="shared" si="3"/>
        <v>Alto</v>
      </c>
      <c r="AD12" s="148" t="s">
        <v>97</v>
      </c>
      <c r="AE12" s="140" t="s">
        <v>328</v>
      </c>
      <c r="AF12" s="149" t="s">
        <v>238</v>
      </c>
      <c r="AG12" s="152" t="s">
        <v>457</v>
      </c>
      <c r="AH12" s="150" t="s">
        <v>328</v>
      </c>
      <c r="AI12" s="149" t="s">
        <v>327</v>
      </c>
      <c r="AJ12" s="149" t="s">
        <v>328</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49.5" customHeight="1" x14ac:dyDescent="0.3">
      <c r="A13" s="6"/>
      <c r="B13" s="245" t="s">
        <v>111</v>
      </c>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5" spans="1:68" x14ac:dyDescent="0.3">
      <c r="A15" s="1"/>
      <c r="B15" s="25" t="s">
        <v>112</v>
      </c>
      <c r="C15" s="1"/>
      <c r="D15" s="1"/>
      <c r="F15" s="1"/>
    </row>
  </sheetData>
  <mergeCells count="59">
    <mergeCell ref="B13:AJ13"/>
    <mergeCell ref="M10:M12"/>
    <mergeCell ref="N10:N12"/>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cfRule type="cellIs" dxfId="431" priority="227" operator="equal">
      <formula>"Muy Alta"</formula>
    </cfRule>
    <cfRule type="cellIs" dxfId="430" priority="228" operator="equal">
      <formula>"Alta"</formula>
    </cfRule>
    <cfRule type="cellIs" dxfId="429" priority="229" operator="equal">
      <formula>"Media"</formula>
    </cfRule>
    <cfRule type="cellIs" dxfId="428" priority="230" operator="equal">
      <formula>"Baja"</formula>
    </cfRule>
    <cfRule type="cellIs" dxfId="427" priority="231" operator="equal">
      <formula>"Muy Baja"</formula>
    </cfRule>
  </conditionalFormatting>
  <conditionalFormatting sqref="K10:K12">
    <cfRule type="containsText" dxfId="426" priority="1" operator="containsText" text="❌">
      <formula>NOT(ISERROR(SEARCH("❌",K10)))</formula>
    </cfRule>
  </conditionalFormatting>
  <conditionalFormatting sqref="L10">
    <cfRule type="cellIs" dxfId="425" priority="222" operator="equal">
      <formula>"Catastrófico"</formula>
    </cfRule>
    <cfRule type="cellIs" dxfId="424" priority="223" operator="equal">
      <formula>"Mayor"</formula>
    </cfRule>
    <cfRule type="cellIs" dxfId="423" priority="224" operator="equal">
      <formula>"Moderado"</formula>
    </cfRule>
    <cfRule type="cellIs" dxfId="422" priority="225" operator="equal">
      <formula>"Menor"</formula>
    </cfRule>
    <cfRule type="cellIs" dxfId="421" priority="226" operator="equal">
      <formula>"Leve"</formula>
    </cfRule>
  </conditionalFormatting>
  <conditionalFormatting sqref="N10">
    <cfRule type="cellIs" dxfId="420" priority="218" operator="equal">
      <formula>"Extremo"</formula>
    </cfRule>
    <cfRule type="cellIs" dxfId="419" priority="219" operator="equal">
      <formula>"Alto"</formula>
    </cfRule>
    <cfRule type="cellIs" dxfId="418" priority="220" operator="equal">
      <formula>"Moderado"</formula>
    </cfRule>
    <cfRule type="cellIs" dxfId="417" priority="221" operator="equal">
      <formula>"Bajo"</formula>
    </cfRule>
  </conditionalFormatting>
  <conditionalFormatting sqref="Y10:Y12">
    <cfRule type="cellIs" dxfId="416" priority="11" operator="equal">
      <formula>"Muy Alta"</formula>
    </cfRule>
    <cfRule type="cellIs" dxfId="415" priority="12" operator="equal">
      <formula>"Alta"</formula>
    </cfRule>
    <cfRule type="cellIs" dxfId="414" priority="13" operator="equal">
      <formula>"Media"</formula>
    </cfRule>
    <cfRule type="cellIs" dxfId="413" priority="14" operator="equal">
      <formula>"Baja"</formula>
    </cfRule>
    <cfRule type="cellIs" dxfId="412" priority="15" operator="equal">
      <formula>"Muy Baja"</formula>
    </cfRule>
  </conditionalFormatting>
  <conditionalFormatting sqref="AA10:AA12">
    <cfRule type="cellIs" dxfId="411" priority="6" operator="equal">
      <formula>"Catastrófico"</formula>
    </cfRule>
    <cfRule type="cellIs" dxfId="410" priority="7" operator="equal">
      <formula>"Mayor"</formula>
    </cfRule>
    <cfRule type="cellIs" dxfId="409" priority="8" operator="equal">
      <formula>"Moderado"</formula>
    </cfRule>
    <cfRule type="cellIs" dxfId="408" priority="9" operator="equal">
      <formula>"Menor"</formula>
    </cfRule>
    <cfRule type="cellIs" dxfId="407" priority="10" operator="equal">
      <formula>"Leve"</formula>
    </cfRule>
  </conditionalFormatting>
  <conditionalFormatting sqref="AC10:AC12">
    <cfRule type="cellIs" dxfId="406" priority="2" operator="equal">
      <formula>"Extremo"</formula>
    </cfRule>
    <cfRule type="cellIs" dxfId="405" priority="3" operator="equal">
      <formula>"Alto"</formula>
    </cfRule>
    <cfRule type="cellIs" dxfId="404" priority="4" operator="equal">
      <formula>"Moderado"</formula>
    </cfRule>
    <cfRule type="cellIs" dxfId="403" priority="5" operator="equal">
      <formula>"Bajo"</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002060"/>
  </sheetPr>
  <dimension ref="A1:BP14"/>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266</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265</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264</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89</v>
      </c>
      <c r="C10" s="237" t="s">
        <v>263</v>
      </c>
      <c r="D10" s="237" t="s">
        <v>262</v>
      </c>
      <c r="E10" s="239" t="s">
        <v>261</v>
      </c>
      <c r="F10" s="237" t="s">
        <v>103</v>
      </c>
      <c r="G10" s="231">
        <v>112</v>
      </c>
      <c r="H10" s="233" t="str">
        <f>IF(G10&lt;=0,"",IF(G10&lt;=2,"Muy Baja",IF(G10&lt;=24,"Baja",IF(G10&lt;=500,"Media",IF(G10&lt;=5000,"Alta","Muy Alta")))))</f>
        <v>Media</v>
      </c>
      <c r="I10" s="217">
        <f>IF(H10="","",IF(H10="Muy Baja",0.2,IF(H10="Baja",0.4,IF(H10="Media",0.6,IF(H10="Alta",0.8,IF(H10="Muy Alta",1,))))))</f>
        <v>0.6</v>
      </c>
      <c r="J10" s="235" t="s">
        <v>167</v>
      </c>
      <c r="K10" s="217" t="str">
        <f>IF(NOT(ISERROR(MATCH(J10,'[10]Tabla Impacto'!$B$221:$B$223,0))),'[10]Tabla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3" t="str">
        <f>IF(OR(K10='[10]Tabla Impacto'!$C$11,K10='[10]Tabla Impacto'!$D$11),"Leve",IF(OR(K10='[10]Tabla Impacto'!$C$12,K10='[10]Tabla Impacto'!$D$12),"Menor",IF(OR(K10='[10]Tabla Impacto'!$C$13,K10='[10]Tabla Impacto'!$D$13),"Moderado",IF(OR(K10='[10]Tabla Impacto'!$C$14,K10='[10]Tabla Impacto'!$D$14),"Mayor",IF(OR(K10='[10]Tabla Impacto'!$C$15,K10='[10]Tabla Impacto'!$D$15),"Catastrófico","")))))</f>
        <v>Menor</v>
      </c>
      <c r="M10" s="217">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25" t="s">
        <v>345</v>
      </c>
      <c r="Q10" s="141" t="str">
        <f t="shared" ref="Q10:Q11" si="0">IF(OR(R10="Preventivo",R10="Detectivo"),"Probabilidad",IF(R10="Correctivo","Impacto",""))</f>
        <v>Probabilidad</v>
      </c>
      <c r="R10" s="142" t="s">
        <v>92</v>
      </c>
      <c r="S10" s="142" t="s">
        <v>93</v>
      </c>
      <c r="T10" s="143" t="str">
        <f t="shared" ref="T10:T11"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0.36</v>
      </c>
      <c r="Y10" s="145" t="str">
        <f t="shared" ref="Y10:Y11" si="2">IFERROR(IF(X10="","",IF(X10&lt;=0.2,"Muy Baja",IF(X10&lt;=0.4,"Baja",IF(X10&lt;=0.6,"Media",IF(X10&lt;=0.8,"Alta","Muy Alta"))))),"")</f>
        <v>Baja</v>
      </c>
      <c r="Z10" s="146">
        <f t="shared" ref="Z10:Z11" si="3">+X10</f>
        <v>0.36</v>
      </c>
      <c r="AA10" s="145" t="str">
        <f t="shared" ref="AA10:AA11" si="4">IFERROR(IF(AB10="","",IF(AB10&lt;=0.2,"Leve",IF(AB10&lt;=0.4,"Menor",IF(AB10&lt;=0.6,"Moderado",IF(AB10&lt;=0.8,"Mayor","Catastrófico"))))),"")</f>
        <v>Menor</v>
      </c>
      <c r="AB10" s="146">
        <f>IFERROR(IF(Q10="Impacto",(M10-(+M10*T10)),IF(Q10="Probabilidad",M10,"")),"")</f>
        <v>0.4</v>
      </c>
      <c r="AC10" s="147" t="str">
        <f t="shared" ref="AC10:AC1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97</v>
      </c>
      <c r="AE10" s="154" t="s">
        <v>342</v>
      </c>
      <c r="AF10" s="149" t="s">
        <v>344</v>
      </c>
      <c r="AG10" s="149" t="s">
        <v>470</v>
      </c>
      <c r="AH10" s="154" t="s">
        <v>342</v>
      </c>
      <c r="AI10" s="150" t="s">
        <v>346</v>
      </c>
      <c r="AJ10" s="154" t="s">
        <v>342</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25" t="s">
        <v>440</v>
      </c>
      <c r="Q11" s="141" t="str">
        <f t="shared" si="0"/>
        <v>Probabilidad</v>
      </c>
      <c r="R11" s="142" t="s">
        <v>92</v>
      </c>
      <c r="S11" s="142" t="s">
        <v>93</v>
      </c>
      <c r="T11" s="143" t="str">
        <f t="shared" si="1"/>
        <v>40%</v>
      </c>
      <c r="U11" s="142" t="s">
        <v>108</v>
      </c>
      <c r="V11" s="142" t="s">
        <v>95</v>
      </c>
      <c r="W11" s="142" t="s">
        <v>96</v>
      </c>
      <c r="X11" s="144">
        <f>IFERROR(IF(AND(Q10="Probabilidad",Q11="Probabilidad"),(Z10-(+Z10*T11)),IF(Q11="Probabilidad",(I10-(+I10*T11)),IF(Q11="Impacto",Z10,""))),"")</f>
        <v>0.216</v>
      </c>
      <c r="Y11" s="145" t="str">
        <f t="shared" si="2"/>
        <v>Baja</v>
      </c>
      <c r="Z11" s="146">
        <f t="shared" si="3"/>
        <v>0.216</v>
      </c>
      <c r="AA11" s="145" t="str">
        <f t="shared" si="4"/>
        <v>Menor</v>
      </c>
      <c r="AB11" s="146">
        <f>IFERROR(IF(AND(Q10="Impacto",Q11="Impacto"),(AB10-(+AB10*T11)),IF(Q11="Impacto",($M$10-(+$M$10*T11)),IF(Q11="Probabilidad",AB10,""))),"")</f>
        <v>0.4</v>
      </c>
      <c r="AC11" s="147" t="str">
        <f t="shared" si="5"/>
        <v>Moderado</v>
      </c>
      <c r="AD11" s="148" t="s">
        <v>97</v>
      </c>
      <c r="AE11" s="154" t="s">
        <v>342</v>
      </c>
      <c r="AF11" s="149" t="s">
        <v>344</v>
      </c>
      <c r="AG11" s="149" t="s">
        <v>470</v>
      </c>
      <c r="AH11" s="154" t="s">
        <v>342</v>
      </c>
      <c r="AI11" s="149" t="s">
        <v>347</v>
      </c>
      <c r="AJ11" s="154" t="s">
        <v>342</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mergeCells count="59">
    <mergeCell ref="N10:N11"/>
    <mergeCell ref="Z8:Z9"/>
    <mergeCell ref="G8:G9"/>
    <mergeCell ref="H8:H9"/>
    <mergeCell ref="I8:I9"/>
    <mergeCell ref="L8:L9"/>
    <mergeCell ref="M8:M9"/>
    <mergeCell ref="N8:N9"/>
    <mergeCell ref="J8:J9"/>
    <mergeCell ref="K8:K9"/>
    <mergeCell ref="Q8:Q9"/>
    <mergeCell ref="I10:I11"/>
    <mergeCell ref="J10:J11"/>
    <mergeCell ref="K10:K11"/>
    <mergeCell ref="L10:L11"/>
    <mergeCell ref="M10:M11"/>
    <mergeCell ref="R8:W8"/>
    <mergeCell ref="G10:G11"/>
    <mergeCell ref="H10:H11"/>
    <mergeCell ref="AE8:AE9"/>
    <mergeCell ref="AJ8:AJ9"/>
    <mergeCell ref="AI8:AI9"/>
    <mergeCell ref="AH8:AH9"/>
    <mergeCell ref="AG8:AG9"/>
    <mergeCell ref="AF8:AF9"/>
    <mergeCell ref="AD8:AD9"/>
    <mergeCell ref="C5:N5"/>
    <mergeCell ref="C6:N6"/>
    <mergeCell ref="O8:O9"/>
    <mergeCell ref="AC8:AC9"/>
    <mergeCell ref="AB8:AB9"/>
    <mergeCell ref="X8:X9"/>
    <mergeCell ref="P8:P9"/>
    <mergeCell ref="AA8:AA9"/>
    <mergeCell ref="Y8:Y9"/>
    <mergeCell ref="A6:B6"/>
    <mergeCell ref="A8:A9"/>
    <mergeCell ref="F8:F9"/>
    <mergeCell ref="E8:E9"/>
    <mergeCell ref="D8:D9"/>
    <mergeCell ref="C8:C9"/>
    <mergeCell ref="B8:B9"/>
    <mergeCell ref="A10:A11"/>
    <mergeCell ref="B10:B11"/>
    <mergeCell ref="C10:C11"/>
    <mergeCell ref="D10:D11"/>
    <mergeCell ref="E10:E11"/>
    <mergeCell ref="F10:F11"/>
    <mergeCell ref="B12:AJ12"/>
    <mergeCell ref="C4:N4"/>
    <mergeCell ref="O4:Q4"/>
    <mergeCell ref="A1:AJ2"/>
    <mergeCell ref="A7:G7"/>
    <mergeCell ref="H7:N7"/>
    <mergeCell ref="O7:W7"/>
    <mergeCell ref="X7:AD7"/>
    <mergeCell ref="AE7:AJ7"/>
    <mergeCell ref="A4:B4"/>
    <mergeCell ref="A5:B5"/>
  </mergeCells>
  <conditionalFormatting sqref="H10">
    <cfRule type="cellIs" dxfId="204" priority="227" operator="equal">
      <formula>"Muy Alta"</formula>
    </cfRule>
    <cfRule type="cellIs" dxfId="203" priority="228" operator="equal">
      <formula>"Alta"</formula>
    </cfRule>
    <cfRule type="cellIs" dxfId="202" priority="229" operator="equal">
      <formula>"Media"</formula>
    </cfRule>
    <cfRule type="cellIs" dxfId="201" priority="230" operator="equal">
      <formula>"Baja"</formula>
    </cfRule>
    <cfRule type="cellIs" dxfId="200" priority="231" operator="equal">
      <formula>"Muy Baja"</formula>
    </cfRule>
  </conditionalFormatting>
  <conditionalFormatting sqref="L10">
    <cfRule type="cellIs" dxfId="199" priority="222" operator="equal">
      <formula>"Catastrófico"</formula>
    </cfRule>
    <cfRule type="cellIs" dxfId="198" priority="223" operator="equal">
      <formula>"Mayor"</formula>
    </cfRule>
    <cfRule type="cellIs" dxfId="197" priority="224" operator="equal">
      <formula>"Moderado"</formula>
    </cfRule>
    <cfRule type="cellIs" dxfId="196" priority="225" operator="equal">
      <formula>"Menor"</formula>
    </cfRule>
    <cfRule type="cellIs" dxfId="195" priority="226" operator="equal">
      <formula>"Leve"</formula>
    </cfRule>
  </conditionalFormatting>
  <conditionalFormatting sqref="N10">
    <cfRule type="cellIs" dxfId="194" priority="218" operator="equal">
      <formula>"Extremo"</formula>
    </cfRule>
    <cfRule type="cellIs" dxfId="193" priority="219" operator="equal">
      <formula>"Alto"</formula>
    </cfRule>
    <cfRule type="cellIs" dxfId="192" priority="220" operator="equal">
      <formula>"Moderado"</formula>
    </cfRule>
    <cfRule type="cellIs" dxfId="191" priority="221" operator="equal">
      <formula>"Bajo"</formula>
    </cfRule>
  </conditionalFormatting>
  <conditionalFormatting sqref="Y10:Y11">
    <cfRule type="cellIs" dxfId="190" priority="213" operator="equal">
      <formula>"Muy Alta"</formula>
    </cfRule>
    <cfRule type="cellIs" dxfId="189" priority="214" operator="equal">
      <formula>"Alta"</formula>
    </cfRule>
    <cfRule type="cellIs" dxfId="188" priority="215" operator="equal">
      <formula>"Media"</formula>
    </cfRule>
    <cfRule type="cellIs" dxfId="187" priority="216" operator="equal">
      <formula>"Baja"</formula>
    </cfRule>
    <cfRule type="cellIs" dxfId="186" priority="217" operator="equal">
      <formula>"Muy Baja"</formula>
    </cfRule>
  </conditionalFormatting>
  <conditionalFormatting sqref="AA10:AA11">
    <cfRule type="cellIs" dxfId="185" priority="208" operator="equal">
      <formula>"Catastrófico"</formula>
    </cfRule>
    <cfRule type="cellIs" dxfId="184" priority="209" operator="equal">
      <formula>"Mayor"</formula>
    </cfRule>
    <cfRule type="cellIs" dxfId="183" priority="210" operator="equal">
      <formula>"Moderado"</formula>
    </cfRule>
    <cfRule type="cellIs" dxfId="182" priority="211" operator="equal">
      <formula>"Menor"</formula>
    </cfRule>
    <cfRule type="cellIs" dxfId="181" priority="212" operator="equal">
      <formula>"Leve"</formula>
    </cfRule>
  </conditionalFormatting>
  <conditionalFormatting sqref="AC10:AC11">
    <cfRule type="cellIs" dxfId="180" priority="204" operator="equal">
      <formula>"Extremo"</formula>
    </cfRule>
    <cfRule type="cellIs" dxfId="179" priority="205" operator="equal">
      <formula>"Alto"</formula>
    </cfRule>
    <cfRule type="cellIs" dxfId="178" priority="206" operator="equal">
      <formula>"Moderado"</formula>
    </cfRule>
    <cfRule type="cellIs" dxfId="177" priority="207" operator="equal">
      <formula>"Bajo"</formula>
    </cfRule>
  </conditionalFormatting>
  <conditionalFormatting sqref="K10:K11">
    <cfRule type="containsText" dxfId="176" priority="1" operator="containsText" text="❌">
      <formula>NOT(ISERROR(SEARCH("❌",K10)))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002060"/>
  </sheetPr>
  <dimension ref="A1:BP15"/>
  <sheetViews>
    <sheetView zoomScale="70" zoomScaleNormal="7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9.28515625" style="2"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customWidth="1"/>
    <col min="12" max="12" width="17.5703125" style="1" customWidth="1"/>
    <col min="13" max="13" width="6.28515625" style="1" bestFit="1" customWidth="1"/>
    <col min="14" max="14" width="16" style="1" customWidth="1"/>
    <col min="15" max="15" width="5.85546875" style="1" customWidth="1"/>
    <col min="16" max="16" width="64.71093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313</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314</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315</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102</v>
      </c>
      <c r="C10" s="237" t="s">
        <v>318</v>
      </c>
      <c r="D10" s="237" t="s">
        <v>316</v>
      </c>
      <c r="E10" s="239" t="s">
        <v>348</v>
      </c>
      <c r="F10" s="237" t="s">
        <v>103</v>
      </c>
      <c r="G10" s="231">
        <v>365</v>
      </c>
      <c r="H10" s="233" t="str">
        <f>IF(G10&lt;=0,"",IF(G10&lt;=2,"Muy Baja",IF(G10&lt;=24,"Baja",IF(G10&lt;=500,"Media",IF(G10&lt;=5000,"Alta","Muy Alta")))))</f>
        <v>Media</v>
      </c>
      <c r="I10" s="217">
        <f>IF(H10="","",IF(H10="Muy Baja",0.2,IF(H10="Baja",0.4,IF(H10="Media",0.6,IF(H10="Alta",0.8,IF(H10="Muy Alta",1,))))))</f>
        <v>0.6</v>
      </c>
      <c r="J10" s="235" t="s">
        <v>91</v>
      </c>
      <c r="K10" s="217" t="str">
        <f>IF(NOT(ISERROR(MATCH(J10,'[11]Tabla Impacto'!$B$221:$B$223,0))),'[11]Tabla Impacto'!$F$223&amp;"Por favor no seleccionar los criterios de impacto(Afectación Económica o presupuestal y Pérdida Reputacional)",J10)</f>
        <v xml:space="preserve">     El riesgo afecta la imagen de la entidad con algunos usuarios de relevancia frente al logro de los objetivos</v>
      </c>
      <c r="L10" s="233" t="str">
        <f>IF(OR(K10='[11]Tabla Impacto'!$C$11,K10='[11]Tabla Impacto'!$D$11),"Leve",IF(OR(K10='[11]Tabla Impacto'!$C$12,K10='[11]Tabla Impacto'!$D$12),"Menor",IF(OR(K10='[11]Tabla Impacto'!$C$13,K10='[11]Tabla Impacto'!$D$13),"Moderado",IF(OR(K10='[11]Tabla Impacto'!$C$14,K10='[11]Tabla Impacto'!$D$14),"Mayor",IF(OR(K10='[11]Tabla Impacto'!$C$15,K10='[11]Tabla Impacto'!$D$15),"Catastrófico","")))))</f>
        <v>Moderado</v>
      </c>
      <c r="M10" s="217">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40" t="s">
        <v>319</v>
      </c>
      <c r="Q10" s="141" t="str">
        <f>IF(OR(R10="Preventivo",R10="Detectivo"),"Probabilidad",IF(R10="Correctivo","Impacto",""))</f>
        <v>Probabilidad</v>
      </c>
      <c r="R10" s="142" t="s">
        <v>92</v>
      </c>
      <c r="S10" s="142" t="s">
        <v>106</v>
      </c>
      <c r="T10" s="143" t="str">
        <f>IF(AND(R10="Preventivo",S10="Automático"),"50%",IF(AND(R10="Preventivo",S10="Manual"),"40%",IF(AND(R10="Detectivo",S10="Automático"),"40%",IF(AND(R10="Detectivo",S10="Manual"),"30%",IF(AND(R10="Correctivo",S10="Automático"),"35%",IF(AND(R10="Correctivo",S10="Manual"),"25%",""))))))</f>
        <v>50%</v>
      </c>
      <c r="U10" s="142" t="s">
        <v>94</v>
      </c>
      <c r="V10" s="142" t="s">
        <v>95</v>
      </c>
      <c r="W10" s="142" t="s">
        <v>96</v>
      </c>
      <c r="X10" s="144">
        <f>IFERROR(IF(Q10="Probabilidad",(I10-(+I10*T10)),IF(Q10="Impacto",I10,"")),"")</f>
        <v>0.3</v>
      </c>
      <c r="Y10" s="145" t="str">
        <f>IFERROR(IF(X10="","",IF(X10&lt;=0.2,"Muy Baja",IF(X10&lt;=0.4,"Baja",IF(X10&lt;=0.6,"Media",IF(X10&lt;=0.8,"Alta","Muy Alta"))))),"")</f>
        <v>Baja</v>
      </c>
      <c r="Z10" s="146">
        <f>+X10</f>
        <v>0.3</v>
      </c>
      <c r="AA10" s="145" t="str">
        <f>IFERROR(IF(AB10="","",IF(AB10&lt;=0.2,"Leve",IF(AB10&lt;=0.4,"Menor",IF(AB10&lt;=0.6,"Moderado",IF(AB10&lt;=0.8,"Mayor","Catastrófico"))))),"")</f>
        <v>Moderado</v>
      </c>
      <c r="AB10" s="146">
        <f>IFERROR(IF(Q10="Impacto",(M10-(+M10*T10)),IF(Q10="Probabilidad",M10,"")),"")</f>
        <v>0.6</v>
      </c>
      <c r="AC10" s="14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c r="AE10" s="154" t="s">
        <v>328</v>
      </c>
      <c r="AF10" s="149" t="s">
        <v>317</v>
      </c>
      <c r="AG10" s="150" t="s">
        <v>472</v>
      </c>
      <c r="AH10" s="150"/>
      <c r="AI10" s="150" t="s">
        <v>358</v>
      </c>
      <c r="AJ10" s="154"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40" t="s">
        <v>452</v>
      </c>
      <c r="Q11" s="141" t="str">
        <f>IF(OR(R11="Preventivo",R11="Detectivo"),"Probabilidad",IF(R11="Correctivo","Impacto",""))</f>
        <v>Probabilidad</v>
      </c>
      <c r="R11" s="142" t="s">
        <v>92</v>
      </c>
      <c r="S11" s="142" t="s">
        <v>93</v>
      </c>
      <c r="T11" s="143" t="str">
        <f t="shared" ref="T11:T12" si="0">IF(AND(R11="Preventivo",S11="Automático"),"50%",IF(AND(R11="Preventivo",S11="Manual"),"40%",IF(AND(R11="Detectivo",S11="Automático"),"40%",IF(AND(R11="Detectivo",S11="Manual"),"30%",IF(AND(R11="Correctivo",S11="Automático"),"35%",IF(AND(R11="Correctivo",S11="Manual"),"25%",""))))))</f>
        <v>40%</v>
      </c>
      <c r="U11" s="142" t="s">
        <v>94</v>
      </c>
      <c r="V11" s="142" t="s">
        <v>100</v>
      </c>
      <c r="W11" s="142" t="s">
        <v>96</v>
      </c>
      <c r="X11" s="144">
        <f>IFERROR(IF(AND(Q10="Probabilidad",Q11="Probabilidad"),(Z10-(+Z10*T11)),IF(Q11="Probabilidad",(I10-(+I10*T11)),IF(Q11="Impacto",Z10,""))),"")</f>
        <v>0.18</v>
      </c>
      <c r="Y11" s="145" t="str">
        <f t="shared" ref="Y11:Y12" si="1">IFERROR(IF(X11="","",IF(X11&lt;=0.2,"Muy Baja",IF(X11&lt;=0.4,"Baja",IF(X11&lt;=0.6,"Media",IF(X11&lt;=0.8,"Alta","Muy Alta"))))),"")</f>
        <v>Muy Baja</v>
      </c>
      <c r="Z11" s="146">
        <f t="shared" ref="Z11:Z12" si="2">+X11</f>
        <v>0.18</v>
      </c>
      <c r="AA11" s="145" t="str">
        <f t="shared" ref="AA11:AA12" si="3">IFERROR(IF(AB11="","",IF(AB11&lt;=0.2,"Leve",IF(AB11&lt;=0.4,"Menor",IF(AB11&lt;=0.6,"Moderado",IF(AB11&lt;=0.8,"Mayor","Catastrófico"))))),"")</f>
        <v>Moderado</v>
      </c>
      <c r="AB11" s="146">
        <f>IFERROR(IF(AND(Q10="Impacto",Q11="Impacto"),(AB10-(+AB10*T11)),IF(Q11="Impacto",($M$10-(+$M$10*T11)),IF(Q11="Probabilidad",AB10,""))),"")</f>
        <v>0.6</v>
      </c>
      <c r="AC11" s="147" t="str">
        <f t="shared" ref="AC11:AC12"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48"/>
      <c r="AE11" s="154" t="s">
        <v>328</v>
      </c>
      <c r="AF11" s="149" t="s">
        <v>317</v>
      </c>
      <c r="AG11" s="150">
        <v>45595</v>
      </c>
      <c r="AH11" s="150">
        <v>45646</v>
      </c>
      <c r="AI11" s="149" t="s">
        <v>367</v>
      </c>
      <c r="AJ11" s="154"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49"/>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3</v>
      </c>
      <c r="P12" s="140" t="s">
        <v>320</v>
      </c>
      <c r="Q12" s="141" t="str">
        <f>IF(OR(R12="Preventivo",R12="Detectivo"),"Probabilidad",IF(R12="Correctivo","Impacto",""))</f>
        <v>Impacto</v>
      </c>
      <c r="R12" s="142" t="s">
        <v>99</v>
      </c>
      <c r="S12" s="142" t="s">
        <v>93</v>
      </c>
      <c r="T12" s="143" t="str">
        <f t="shared" si="0"/>
        <v>25%</v>
      </c>
      <c r="U12" s="142" t="s">
        <v>94</v>
      </c>
      <c r="V12" s="142"/>
      <c r="W12" s="142" t="s">
        <v>96</v>
      </c>
      <c r="X12" s="144">
        <f>IFERROR(IF(AND(Q11="Probabilidad",Q12="Probabilidad"),(Z11-(+Z11*T12)),IF(AND(Q11="Impacto",Q12="Probabilidad"),(Z10-(+Z10*T12)),IF(Q12="Impacto",Z11,""))),"")</f>
        <v>0.18</v>
      </c>
      <c r="Y12" s="145" t="str">
        <f t="shared" si="1"/>
        <v>Muy Baja</v>
      </c>
      <c r="Z12" s="146">
        <f t="shared" si="2"/>
        <v>0.18</v>
      </c>
      <c r="AA12" s="145" t="str">
        <f t="shared" si="3"/>
        <v>Moderado</v>
      </c>
      <c r="AB12" s="146">
        <f>IFERROR(IF(AND(Q11="Impacto",Q12="Impacto"),(AB11-(+AB11*T12)),IF(AND(Q11="Probabilidad",Q12="Impacto"),(AB10-(+AB10*T12)),IF(Q12="Probabilidad",AB11,""))),"")</f>
        <v>0.44999999999999996</v>
      </c>
      <c r="AC12" s="147" t="str">
        <f t="shared" si="4"/>
        <v>Moderado</v>
      </c>
      <c r="AD12" s="148"/>
      <c r="AE12" s="154" t="s">
        <v>328</v>
      </c>
      <c r="AF12" s="149" t="s">
        <v>317</v>
      </c>
      <c r="AG12" s="150">
        <v>45595</v>
      </c>
      <c r="AH12" s="150">
        <v>45646</v>
      </c>
      <c r="AI12" s="149" t="s">
        <v>359</v>
      </c>
      <c r="AJ12" s="154" t="s">
        <v>328</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49.5" customHeight="1" x14ac:dyDescent="0.3">
      <c r="A13" s="6"/>
      <c r="B13" s="245" t="s">
        <v>111</v>
      </c>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5" spans="1:68" x14ac:dyDescent="0.3">
      <c r="A15" s="1"/>
      <c r="B15" s="25" t="s">
        <v>112</v>
      </c>
      <c r="C15" s="1"/>
      <c r="D15" s="1"/>
      <c r="F15" s="1"/>
    </row>
  </sheetData>
  <dataConsolidate/>
  <mergeCells count="59">
    <mergeCell ref="B13:AJ13"/>
    <mergeCell ref="M10:M12"/>
    <mergeCell ref="N10:N12"/>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cfRule type="cellIs" dxfId="175" priority="227" operator="equal">
      <formula>"Muy Alta"</formula>
    </cfRule>
    <cfRule type="cellIs" dxfId="174" priority="228" operator="equal">
      <formula>"Alta"</formula>
    </cfRule>
    <cfRule type="cellIs" dxfId="173" priority="229" operator="equal">
      <formula>"Media"</formula>
    </cfRule>
    <cfRule type="cellIs" dxfId="172" priority="230" operator="equal">
      <formula>"Baja"</formula>
    </cfRule>
    <cfRule type="cellIs" dxfId="171" priority="231" operator="equal">
      <formula>"Muy Baja"</formula>
    </cfRule>
  </conditionalFormatting>
  <conditionalFormatting sqref="L10">
    <cfRule type="cellIs" dxfId="170" priority="222" operator="equal">
      <formula>"Catastrófico"</formula>
    </cfRule>
    <cfRule type="cellIs" dxfId="169" priority="223" operator="equal">
      <formula>"Mayor"</formula>
    </cfRule>
    <cfRule type="cellIs" dxfId="168" priority="224" operator="equal">
      <formula>"Moderado"</formula>
    </cfRule>
    <cfRule type="cellIs" dxfId="167" priority="225" operator="equal">
      <formula>"Menor"</formula>
    </cfRule>
    <cfRule type="cellIs" dxfId="166" priority="226" operator="equal">
      <formula>"Leve"</formula>
    </cfRule>
  </conditionalFormatting>
  <conditionalFormatting sqref="N10">
    <cfRule type="cellIs" dxfId="165" priority="218" operator="equal">
      <formula>"Extremo"</formula>
    </cfRule>
    <cfRule type="cellIs" dxfId="164" priority="219" operator="equal">
      <formula>"Alto"</formula>
    </cfRule>
    <cfRule type="cellIs" dxfId="163" priority="220" operator="equal">
      <formula>"Moderado"</formula>
    </cfRule>
    <cfRule type="cellIs" dxfId="162" priority="221" operator="equal">
      <formula>"Bajo"</formula>
    </cfRule>
  </conditionalFormatting>
  <conditionalFormatting sqref="Y10:Y12">
    <cfRule type="cellIs" dxfId="161" priority="213" operator="equal">
      <formula>"Muy Alta"</formula>
    </cfRule>
    <cfRule type="cellIs" dxfId="160" priority="214" operator="equal">
      <formula>"Alta"</formula>
    </cfRule>
    <cfRule type="cellIs" dxfId="159" priority="215" operator="equal">
      <formula>"Media"</formula>
    </cfRule>
    <cfRule type="cellIs" dxfId="158" priority="216" operator="equal">
      <formula>"Baja"</formula>
    </cfRule>
    <cfRule type="cellIs" dxfId="157" priority="217" operator="equal">
      <formula>"Muy Baja"</formula>
    </cfRule>
  </conditionalFormatting>
  <conditionalFormatting sqref="AA10:AA12">
    <cfRule type="cellIs" dxfId="156" priority="208" operator="equal">
      <formula>"Catastrófico"</formula>
    </cfRule>
    <cfRule type="cellIs" dxfId="155" priority="209" operator="equal">
      <formula>"Mayor"</formula>
    </cfRule>
    <cfRule type="cellIs" dxfId="154" priority="210" operator="equal">
      <formula>"Moderado"</formula>
    </cfRule>
    <cfRule type="cellIs" dxfId="153" priority="211" operator="equal">
      <formula>"Menor"</formula>
    </cfRule>
    <cfRule type="cellIs" dxfId="152" priority="212" operator="equal">
      <formula>"Leve"</formula>
    </cfRule>
  </conditionalFormatting>
  <conditionalFormatting sqref="AC10:AC12">
    <cfRule type="cellIs" dxfId="151" priority="204" operator="equal">
      <formula>"Extremo"</formula>
    </cfRule>
    <cfRule type="cellIs" dxfId="150" priority="205" operator="equal">
      <formula>"Alto"</formula>
    </cfRule>
    <cfRule type="cellIs" dxfId="149" priority="206" operator="equal">
      <formula>"Moderado"</formula>
    </cfRule>
    <cfRule type="cellIs" dxfId="148" priority="207" operator="equal">
      <formula>"Bajo"</formula>
    </cfRule>
  </conditionalFormatting>
  <conditionalFormatting sqref="K10:K12">
    <cfRule type="containsText" dxfId="147" priority="1" operator="containsText" text="❌">
      <formula>NOT(ISERROR(SEARCH("❌",K10)))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002060"/>
  </sheetPr>
  <dimension ref="A1:BP14"/>
  <sheetViews>
    <sheetView topLeftCell="G1" zoomScale="60" zoomScaleNormal="60" workbookViewId="0">
      <selection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customWidth="1"/>
    <col min="10" max="10" width="27.140625" style="1" customWidth="1"/>
    <col min="11" max="11" width="30.5703125" style="1" customWidth="1"/>
    <col min="12" max="12" width="17.5703125" style="1" customWidth="1"/>
    <col min="13" max="13" width="6.140625" style="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272</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273</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274</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64</v>
      </c>
      <c r="B7" s="251"/>
      <c r="C7" s="251"/>
      <c r="D7" s="251"/>
      <c r="E7" s="251"/>
      <c r="F7" s="251"/>
      <c r="G7" s="252"/>
      <c r="H7" s="250" t="s">
        <v>65</v>
      </c>
      <c r="I7" s="251"/>
      <c r="J7" s="251"/>
      <c r="K7" s="251"/>
      <c r="L7" s="251"/>
      <c r="M7" s="251"/>
      <c r="N7" s="252"/>
      <c r="O7" s="250" t="s">
        <v>66</v>
      </c>
      <c r="P7" s="251"/>
      <c r="Q7" s="251"/>
      <c r="R7" s="251"/>
      <c r="S7" s="251"/>
      <c r="T7" s="251"/>
      <c r="U7" s="251"/>
      <c r="V7" s="251"/>
      <c r="W7" s="252"/>
      <c r="X7" s="250" t="s">
        <v>67</v>
      </c>
      <c r="Y7" s="251"/>
      <c r="Z7" s="251"/>
      <c r="AA7" s="251"/>
      <c r="AB7" s="251"/>
      <c r="AC7" s="251"/>
      <c r="AD7" s="252"/>
      <c r="AE7" s="250" t="s">
        <v>68</v>
      </c>
      <c r="AF7" s="251"/>
      <c r="AG7" s="251"/>
      <c r="AH7" s="251"/>
      <c r="AI7" s="251"/>
      <c r="AJ7" s="25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61" t="s">
        <v>69</v>
      </c>
      <c r="B8" s="263" t="s">
        <v>15</v>
      </c>
      <c r="C8" s="254" t="s">
        <v>17</v>
      </c>
      <c r="D8" s="254" t="s">
        <v>19</v>
      </c>
      <c r="E8" s="264" t="s">
        <v>21</v>
      </c>
      <c r="F8" s="253" t="s">
        <v>23</v>
      </c>
      <c r="G8" s="254" t="s">
        <v>70</v>
      </c>
      <c r="H8" s="265" t="s">
        <v>71</v>
      </c>
      <c r="I8" s="257" t="s">
        <v>72</v>
      </c>
      <c r="J8" s="253" t="s">
        <v>73</v>
      </c>
      <c r="K8" s="253" t="s">
        <v>74</v>
      </c>
      <c r="L8" s="255" t="s">
        <v>75</v>
      </c>
      <c r="M8" s="257" t="s">
        <v>72</v>
      </c>
      <c r="N8" s="254" t="s">
        <v>29</v>
      </c>
      <c r="O8" s="259" t="s">
        <v>76</v>
      </c>
      <c r="P8" s="258" t="s">
        <v>31</v>
      </c>
      <c r="Q8" s="253" t="s">
        <v>33</v>
      </c>
      <c r="R8" s="258" t="s">
        <v>77</v>
      </c>
      <c r="S8" s="258"/>
      <c r="T8" s="258"/>
      <c r="U8" s="258"/>
      <c r="V8" s="258"/>
      <c r="W8" s="258"/>
      <c r="X8" s="267" t="s">
        <v>78</v>
      </c>
      <c r="Y8" s="267" t="s">
        <v>79</v>
      </c>
      <c r="Z8" s="267" t="s">
        <v>72</v>
      </c>
      <c r="AA8" s="267" t="s">
        <v>80</v>
      </c>
      <c r="AB8" s="267" t="s">
        <v>72</v>
      </c>
      <c r="AC8" s="267" t="s">
        <v>81</v>
      </c>
      <c r="AD8" s="259" t="s">
        <v>49</v>
      </c>
      <c r="AE8" s="266" t="s">
        <v>68</v>
      </c>
      <c r="AF8" s="258"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2"/>
      <c r="B9" s="263"/>
      <c r="C9" s="258"/>
      <c r="D9" s="258"/>
      <c r="E9" s="263"/>
      <c r="F9" s="254"/>
      <c r="G9" s="258"/>
      <c r="H9" s="254"/>
      <c r="I9" s="256"/>
      <c r="J9" s="254"/>
      <c r="K9" s="254"/>
      <c r="L9" s="256"/>
      <c r="M9" s="256"/>
      <c r="N9" s="258"/>
      <c r="O9" s="260"/>
      <c r="P9" s="258"/>
      <c r="Q9" s="254"/>
      <c r="R9" s="7" t="s">
        <v>83</v>
      </c>
      <c r="S9" s="7" t="s">
        <v>84</v>
      </c>
      <c r="T9" s="7" t="s">
        <v>85</v>
      </c>
      <c r="U9" s="7" t="s">
        <v>86</v>
      </c>
      <c r="V9" s="7" t="s">
        <v>87</v>
      </c>
      <c r="W9" s="7" t="s">
        <v>88</v>
      </c>
      <c r="X9" s="267"/>
      <c r="Y9" s="267"/>
      <c r="Z9" s="267"/>
      <c r="AA9" s="267"/>
      <c r="AB9" s="267"/>
      <c r="AC9" s="267"/>
      <c r="AD9" s="260"/>
      <c r="AE9" s="266"/>
      <c r="AF9" s="258"/>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193.5" customHeight="1" x14ac:dyDescent="0.3">
      <c r="A10" s="170">
        <v>2</v>
      </c>
      <c r="B10" s="171" t="s">
        <v>89</v>
      </c>
      <c r="C10" s="171" t="s">
        <v>275</v>
      </c>
      <c r="D10" s="171" t="s">
        <v>276</v>
      </c>
      <c r="E10" s="172" t="s">
        <v>441</v>
      </c>
      <c r="F10" s="171" t="s">
        <v>103</v>
      </c>
      <c r="G10" s="173">
        <v>12</v>
      </c>
      <c r="H10" s="168" t="str">
        <f>IF(G10&lt;=0,"",IF(G10&lt;=2,"Muy Baja",IF(G10&lt;=24,"Baja",IF(G10&lt;=500,"Media",IF(G10&lt;=5000,"Alta","Muy Alta")))))</f>
        <v>Baja</v>
      </c>
      <c r="I10" s="166">
        <f>IF(H10="","",IF(H10="Muy Baja",0.2,IF(H10="Baja",0.4,IF(H10="Media",0.6,IF(H10="Alta",0.8,IF(H10="Muy Alta",1,))))))</f>
        <v>0.4</v>
      </c>
      <c r="J10" s="167" t="s">
        <v>91</v>
      </c>
      <c r="K10" s="166" t="str">
        <f>IF(NOT(ISERROR(MATCH(J10,'[12]Tabla Impacto'!$B$221:$B$223,0))),'[12]Tabla Impacto'!$F$223&amp;"Por favor no seleccionar los criterios de impacto(Afectación Económica o presupuestal y Pérdida Reputacional)",J10)</f>
        <v xml:space="preserve">     El riesgo afecta la imagen de la entidad con algunos usuarios de relevancia frente al logro de los objetivos</v>
      </c>
      <c r="L10" s="168" t="str">
        <f>IF(OR(K10='[12]Tabla Impacto'!$C$11,K10='[12]Tabla Impacto'!$D$11),"Leve",IF(OR(K10='[12]Tabla Impacto'!$C$12,K10='[12]Tabla Impacto'!$D$12),"Menor",IF(OR(K10='[12]Tabla Impacto'!$C$13,K10='[12]Tabla Impacto'!$D$13),"Moderado",IF(OR(K10='[12]Tabla Impacto'!$C$14,K10='[12]Tabla Impacto'!$D$14),"Mayor",IF(OR(K10='[12]Tabla Impacto'!$C$15,K10='[12]Tabla Impacto'!$D$15),"Catastrófico","")))))</f>
        <v>Moderado</v>
      </c>
      <c r="M10" s="166">
        <f>IF(L10="","",IF(L10="Leve",0.2,IF(L10="Menor",0.4,IF(L10="Moderado",0.6,IF(L10="Mayor",0.8,IF(L10="Catastrófico",1,))))))</f>
        <v>0.6</v>
      </c>
      <c r="N10" s="16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125" t="s">
        <v>277</v>
      </c>
      <c r="Q10" s="38" t="str">
        <f t="shared" ref="Q10:Q11" si="0">IF(OR(R10="Preventivo",R10="Detectivo"),"Probabilidad",IF(R10="Correctivo","Impacto",""))</f>
        <v>Probabilidad</v>
      </c>
      <c r="R10" s="39" t="s">
        <v>92</v>
      </c>
      <c r="S10" s="39" t="s">
        <v>93</v>
      </c>
      <c r="T10" s="40" t="str">
        <f t="shared" ref="T10:T11" si="1">IF(AND(R10="Preventivo",S10="Automático"),"50%",IF(AND(R10="Preventivo",S10="Manual"),"40%",IF(AND(R10="Detectivo",S10="Automático"),"40%",IF(AND(R10="Detectivo",S10="Manual"),"30%",IF(AND(R10="Correctivo",S10="Automático"),"35%",IF(AND(R10="Correctivo",S10="Manual"),"25%",""))))))</f>
        <v>40%</v>
      </c>
      <c r="U10" s="39" t="s">
        <v>94</v>
      </c>
      <c r="V10" s="39" t="s">
        <v>95</v>
      </c>
      <c r="W10" s="39" t="s">
        <v>96</v>
      </c>
      <c r="X10" s="24">
        <f>IFERROR(IF(Q10="Probabilidad",(I10-(+I10*T10)),IF(Q10="Impacto",I10,"")),"")</f>
        <v>0.24</v>
      </c>
      <c r="Y10" s="41" t="str">
        <f>IFERROR(IF(X10="","",IF(X10&lt;=0.2,"Muy Baja",IF(X10&lt;=0.4,"Baja",IF(X10&lt;=0.6,"Media",IF(X10&lt;=0.8,"Alta","Muy Alta"))))),"")</f>
        <v>Baja</v>
      </c>
      <c r="Z10" s="42">
        <f t="shared" ref="Z10:Z11" si="2">+X10</f>
        <v>0.24</v>
      </c>
      <c r="AA10" s="41" t="str">
        <f>IFERROR(IF(AB10="","",IF(AB10&lt;=0.2,"Leve",IF(AB10&lt;=0.4,"Menor",IF(AB10&lt;=0.6,"Moderado",IF(AB10&lt;=0.8,"Mayor","Catastrófico"))))),"")</f>
        <v>Moderado</v>
      </c>
      <c r="AB10" s="42">
        <f>IFERROR(IF(Q10="Impacto",(M10-(+M10*T10)),IF(Q10="Probabilidad",M10,"")),"")</f>
        <v>0.6</v>
      </c>
      <c r="AC10" s="43" t="str">
        <f t="shared" ref="AC10:AC11"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44"/>
      <c r="AE10" s="45" t="s">
        <v>442</v>
      </c>
      <c r="AF10" s="45" t="s">
        <v>349</v>
      </c>
      <c r="AG10" s="45" t="s">
        <v>473</v>
      </c>
      <c r="AH10" s="137" t="s">
        <v>474</v>
      </c>
      <c r="AI10" s="45" t="s">
        <v>444</v>
      </c>
      <c r="AJ10" s="45" t="s">
        <v>443</v>
      </c>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ht="190.5" customHeight="1" x14ac:dyDescent="0.3">
      <c r="A11" s="170">
        <v>3</v>
      </c>
      <c r="B11" s="171" t="s">
        <v>89</v>
      </c>
      <c r="C11" s="171" t="s">
        <v>278</v>
      </c>
      <c r="D11" s="171" t="s">
        <v>279</v>
      </c>
      <c r="E11" s="172" t="s">
        <v>280</v>
      </c>
      <c r="F11" s="171" t="s">
        <v>103</v>
      </c>
      <c r="G11" s="173">
        <v>260</v>
      </c>
      <c r="H11" s="168" t="str">
        <f>IF(G11&lt;=0,"",IF(G11&lt;=2,"Muy Baja",IF(G11&lt;=24,"Baja",IF(G11&lt;=500,"Media",IF(G11&lt;=5000,"Alta","Muy Alta")))))</f>
        <v>Media</v>
      </c>
      <c r="I11" s="166">
        <f>IF(H11="","",IF(H11="Muy Baja",0.2,IF(H11="Baja",0.4,IF(H11="Media",0.6,IF(H11="Alta",0.8,IF(H11="Muy Alta",1,))))))</f>
        <v>0.6</v>
      </c>
      <c r="J11" s="167" t="s">
        <v>107</v>
      </c>
      <c r="K11" s="166" t="str">
        <f>IF(NOT(ISERROR(MATCH(J11,'[12]Tabla Impacto'!$B$221:$B$223,0))),'[12]Tabla Impacto'!$F$223&amp;"Por favor no seleccionar los criterios de impacto(Afectación Económica o presupuestal y Pérdida Reputacional)",J11)</f>
        <v xml:space="preserve">     El riesgo afecta la imagen de alguna área de la organización</v>
      </c>
      <c r="L11" s="168" t="str">
        <f>IF(OR(K11='[12]Tabla Impacto'!$C$11,K11='[12]Tabla Impacto'!$D$11),"Leve",IF(OR(K11='[12]Tabla Impacto'!$C$12,K11='[12]Tabla Impacto'!$D$12),"Menor",IF(OR(K11='[12]Tabla Impacto'!$C$13,K11='[12]Tabla Impacto'!$D$13),"Moderado",IF(OR(K11='[12]Tabla Impacto'!$C$14,K11='[12]Tabla Impacto'!$D$14),"Mayor",IF(OR(K11='[12]Tabla Impacto'!$C$15,K11='[12]Tabla Impacto'!$D$15),"Catastrófico","")))))</f>
        <v>Leve</v>
      </c>
      <c r="M11" s="166">
        <f>IF(L11="","",IF(L11="Leve",0.2,IF(L11="Menor",0.4,IF(L11="Moderado",0.6,IF(L11="Mayor",0.8,IF(L11="Catastrófico",1,))))))</f>
        <v>0.2</v>
      </c>
      <c r="N11" s="169"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Moderado</v>
      </c>
      <c r="O11" s="6">
        <v>1</v>
      </c>
      <c r="P11" s="159" t="s">
        <v>439</v>
      </c>
      <c r="Q11" s="38" t="str">
        <f t="shared" si="0"/>
        <v>Probabilidad</v>
      </c>
      <c r="R11" s="39" t="s">
        <v>92</v>
      </c>
      <c r="S11" s="39" t="s">
        <v>93</v>
      </c>
      <c r="T11" s="40" t="str">
        <f t="shared" si="1"/>
        <v>40%</v>
      </c>
      <c r="U11" s="39" t="s">
        <v>94</v>
      </c>
      <c r="V11" s="39" t="s">
        <v>95</v>
      </c>
      <c r="W11" s="39" t="s">
        <v>96</v>
      </c>
      <c r="X11" s="24">
        <f>IFERROR(IF(Q11="Probabilidad",(I11-(+I11*T11)),IF(Q11="Impacto",I11,"")),"")</f>
        <v>0.36</v>
      </c>
      <c r="Y11" s="41" t="str">
        <f>IFERROR(IF(X11="","",IF(X11&lt;=0.2,"Muy Baja",IF(X11&lt;=0.4,"Baja",IF(X11&lt;=0.6,"Media",IF(X11&lt;=0.8,"Alta","Muy Alta"))))),"")</f>
        <v>Baja</v>
      </c>
      <c r="Z11" s="42">
        <f t="shared" si="2"/>
        <v>0.36</v>
      </c>
      <c r="AA11" s="41" t="str">
        <f>IFERROR(IF(AB11="","",IF(AB11&lt;=0.2,"Leve",IF(AB11&lt;=0.4,"Menor",IF(AB11&lt;=0.6,"Moderado",IF(AB11&lt;=0.8,"Mayor","Catastrófico"))))),"")</f>
        <v>Leve</v>
      </c>
      <c r="AB11" s="42">
        <f>IFERROR(IF(Q11="Impacto",(M11-(+M11*T11)),IF(Q11="Probabilidad",M11,"")),"")</f>
        <v>0.2</v>
      </c>
      <c r="AC11" s="43" t="str">
        <f t="shared" si="3"/>
        <v>Bajo</v>
      </c>
      <c r="AD11" s="44"/>
      <c r="AE11" s="163" t="s">
        <v>445</v>
      </c>
      <c r="AF11" s="159" t="s">
        <v>349</v>
      </c>
      <c r="AG11" s="159" t="s">
        <v>466</v>
      </c>
      <c r="AH11" s="164" t="s">
        <v>474</v>
      </c>
      <c r="AI11" s="159" t="s">
        <v>447</v>
      </c>
      <c r="AJ11" s="160" t="s">
        <v>446</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mergeCells count="45">
    <mergeCell ref="B12:AJ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Y10:Y11">
    <cfRule type="cellIs" dxfId="146" priority="227" operator="equal">
      <formula>"Muy Alta"</formula>
    </cfRule>
    <cfRule type="cellIs" dxfId="145" priority="228" operator="equal">
      <formula>"Alta"</formula>
    </cfRule>
    <cfRule type="cellIs" dxfId="144" priority="229" operator="equal">
      <formula>"Media"</formula>
    </cfRule>
    <cfRule type="cellIs" dxfId="143" priority="230" operator="equal">
      <formula>"Baja"</formula>
    </cfRule>
    <cfRule type="cellIs" dxfId="142" priority="231" operator="equal">
      <formula>"Muy Baja"</formula>
    </cfRule>
  </conditionalFormatting>
  <conditionalFormatting sqref="L10:L11 AA10:AA11">
    <cfRule type="cellIs" dxfId="141" priority="222" operator="equal">
      <formula>"Catastrófico"</formula>
    </cfRule>
    <cfRule type="cellIs" dxfId="140" priority="223" operator="equal">
      <formula>"Mayor"</formula>
    </cfRule>
    <cfRule type="cellIs" dxfId="139" priority="224" operator="equal">
      <formula>"Moderado"</formula>
    </cfRule>
    <cfRule type="cellIs" dxfId="138" priority="225" operator="equal">
      <formula>"Menor"</formula>
    </cfRule>
    <cfRule type="cellIs" dxfId="137" priority="226" operator="equal">
      <formula>"Leve"</formula>
    </cfRule>
  </conditionalFormatting>
  <conditionalFormatting sqref="N10 AC10:AC11">
    <cfRule type="cellIs" dxfId="136" priority="200" operator="equal">
      <formula>"Extremo"</formula>
    </cfRule>
    <cfRule type="cellIs" dxfId="135" priority="201" operator="equal">
      <formula>"Alto"</formula>
    </cfRule>
    <cfRule type="cellIs" dxfId="134" priority="202" operator="equal">
      <formula>"Moderado"</formula>
    </cfRule>
    <cfRule type="cellIs" dxfId="133" priority="203" operator="equal">
      <formula>"Bajo"</formula>
    </cfRule>
  </conditionalFormatting>
  <conditionalFormatting sqref="H11">
    <cfRule type="cellIs" dxfId="132" priority="181" operator="equal">
      <formula>"Muy Alta"</formula>
    </cfRule>
    <cfRule type="cellIs" dxfId="131" priority="182" operator="equal">
      <formula>"Alta"</formula>
    </cfRule>
    <cfRule type="cellIs" dxfId="130" priority="183" operator="equal">
      <formula>"Media"</formula>
    </cfRule>
    <cfRule type="cellIs" dxfId="129" priority="184" operator="equal">
      <formula>"Baja"</formula>
    </cfRule>
    <cfRule type="cellIs" dxfId="128" priority="185" operator="equal">
      <formula>"Muy Baja"</formula>
    </cfRule>
  </conditionalFormatting>
  <conditionalFormatting sqref="N11">
    <cfRule type="cellIs" dxfId="127" priority="177" operator="equal">
      <formula>"Extremo"</formula>
    </cfRule>
    <cfRule type="cellIs" dxfId="126" priority="178" operator="equal">
      <formula>"Alto"</formula>
    </cfRule>
    <cfRule type="cellIs" dxfId="125" priority="179" operator="equal">
      <formula>"Moderado"</formula>
    </cfRule>
    <cfRule type="cellIs" dxfId="124" priority="180" operator="equal">
      <formula>"Bajo"</formula>
    </cfRule>
  </conditionalFormatting>
  <conditionalFormatting sqref="K10:K11">
    <cfRule type="containsText" dxfId="123" priority="1" operator="containsText" text="❌">
      <formula>NOT(ISERROR(SEARCH("❌",K10)))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060"/>
  </sheetPr>
  <dimension ref="A1:BP14"/>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6.7109375" style="1" customWidth="1"/>
    <col min="32" max="32" width="18.85546875" style="1" customWidth="1"/>
    <col min="33" max="33" width="16.85546875" style="1" customWidth="1"/>
    <col min="34" max="34" width="16.570312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255</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256</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257</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64</v>
      </c>
      <c r="B7" s="251"/>
      <c r="C7" s="251"/>
      <c r="D7" s="251"/>
      <c r="E7" s="251"/>
      <c r="F7" s="251"/>
      <c r="G7" s="252"/>
      <c r="H7" s="250" t="s">
        <v>65</v>
      </c>
      <c r="I7" s="251"/>
      <c r="J7" s="251"/>
      <c r="K7" s="251"/>
      <c r="L7" s="251"/>
      <c r="M7" s="251"/>
      <c r="N7" s="252"/>
      <c r="O7" s="250" t="s">
        <v>66</v>
      </c>
      <c r="P7" s="251"/>
      <c r="Q7" s="251"/>
      <c r="R7" s="251"/>
      <c r="S7" s="251"/>
      <c r="T7" s="251"/>
      <c r="U7" s="251"/>
      <c r="V7" s="251"/>
      <c r="W7" s="252"/>
      <c r="X7" s="250" t="s">
        <v>67</v>
      </c>
      <c r="Y7" s="251"/>
      <c r="Z7" s="251"/>
      <c r="AA7" s="251"/>
      <c r="AB7" s="251"/>
      <c r="AC7" s="251"/>
      <c r="AD7" s="252"/>
      <c r="AE7" s="250" t="s">
        <v>68</v>
      </c>
      <c r="AF7" s="251"/>
      <c r="AG7" s="251"/>
      <c r="AH7" s="251"/>
      <c r="AI7" s="251"/>
      <c r="AJ7" s="25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6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70">
        <v>1</v>
      </c>
      <c r="B10" s="237" t="s">
        <v>102</v>
      </c>
      <c r="C10" s="237" t="s">
        <v>258</v>
      </c>
      <c r="D10" s="237" t="s">
        <v>259</v>
      </c>
      <c r="E10" s="239" t="s">
        <v>399</v>
      </c>
      <c r="F10" s="237" t="s">
        <v>355</v>
      </c>
      <c r="G10" s="231">
        <v>260</v>
      </c>
      <c r="H10" s="233" t="str">
        <f>IF(G10&lt;=0,"",IF(G10&lt;=2,"Muy Baja",IF(G10&lt;=24,"Baja",IF(G10&lt;=500,"Media",IF(G10&lt;=5000,"Alta","Muy Alta")))))</f>
        <v>Media</v>
      </c>
      <c r="I10" s="217">
        <f>IF(H10="","",IF(H10="Muy Baja",0.2,IF(H10="Baja",0.4,IF(H10="Media",0.6,IF(H10="Alta",0.8,IF(H10="Muy Alta",1,))))))</f>
        <v>0.6</v>
      </c>
      <c r="J10" s="235" t="s">
        <v>165</v>
      </c>
      <c r="K10" s="217" t="str">
        <f>IF(NOT(ISERROR(MATCH(J10,'[13]Tabla Impacto'!$B$221:$B$223,0))),'[13]Tabla Impacto'!$F$223&amp;"Por favor no seleccionar los criterios de impacto(Afectación Económica o presupuestal y Pérdida Reputacional)",J10)</f>
        <v xml:space="preserve">     Afectación menor a 10 SMLMV .</v>
      </c>
      <c r="L10" s="233" t="str">
        <f>IF(OR(K10='[13]Tabla Impacto'!$C$11,K10='[13]Tabla Impacto'!$D$11),"Leve",IF(OR(K10='[13]Tabla Impacto'!$C$12,K10='[13]Tabla Impacto'!$D$12),"Menor",IF(OR(K10='[13]Tabla Impacto'!$C$13,K10='[13]Tabla Impacto'!$D$13),"Moderado",IF(OR(K10='[13]Tabla Impacto'!$C$14,K10='[13]Tabla Impacto'!$D$14),"Mayor",IF(OR(K10='[13]Tabla Impacto'!$C$15,K10='[13]Tabla Impacto'!$D$15),"Catastrófico","")))))</f>
        <v>Leve</v>
      </c>
      <c r="M10" s="217">
        <f>IF(L10="","",IF(L10="Leve",0.2,IF(L10="Menor",0.4,IF(L10="Moderado",0.6,IF(L10="Mayor",0.8,IF(L10="Catastrófico",1,))))))</f>
        <v>0.2</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25" t="s">
        <v>398</v>
      </c>
      <c r="Q10" s="141" t="str">
        <f t="shared" ref="Q10:Q11" si="0">IF(OR(R10="Preventivo",R10="Detectivo"),"Probabilidad",IF(R10="Correctivo","Impacto",""))</f>
        <v>Probabilidad</v>
      </c>
      <c r="R10" s="142" t="s">
        <v>92</v>
      </c>
      <c r="S10" s="142" t="s">
        <v>93</v>
      </c>
      <c r="T10" s="143" t="str">
        <f t="shared" ref="T10:T11"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0.36</v>
      </c>
      <c r="Y10" s="145" t="str">
        <f>IFERROR(IF(X10="","",IF(X10&lt;=0.2,"Muy Baja",IF(X10&lt;=0.4,"Baja",IF(X10&lt;=0.6,"Media",IF(X10&lt;=0.8,"Alta","Muy Alta"))))),"")</f>
        <v>Baja</v>
      </c>
      <c r="Z10" s="146">
        <f t="shared" ref="Z10" si="2">+X10</f>
        <v>0.36</v>
      </c>
      <c r="AA10" s="145" t="str">
        <f>IFERROR(IF(AB10="","",IF(AB10&lt;=0.2,"Leve",IF(AB10&lt;=0.4,"Menor",IF(AB10&lt;=0.6,"Moderado",IF(AB10&lt;=0.8,"Mayor","Catastrófico"))))),"")</f>
        <v>Leve</v>
      </c>
      <c r="AB10" s="146">
        <f>IFERROR(IF(Q10="Impacto",(M10-(+M10*T10)),IF(Q10="Probabilidad",M10,"")),"")</f>
        <v>0.2</v>
      </c>
      <c r="AC10" s="147" t="str">
        <f t="shared" ref="AC10:AC11"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48" t="s">
        <v>97</v>
      </c>
      <c r="AE10" s="149" t="s">
        <v>400</v>
      </c>
      <c r="AF10" s="149" t="s">
        <v>260</v>
      </c>
      <c r="AG10" s="149" t="s">
        <v>470</v>
      </c>
      <c r="AH10" s="150" t="s">
        <v>467</v>
      </c>
      <c r="AI10" s="150" t="s">
        <v>360</v>
      </c>
      <c r="AJ10" s="149" t="s">
        <v>362</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71"/>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3</v>
      </c>
      <c r="P11" s="125" t="s">
        <v>364</v>
      </c>
      <c r="Q11" s="141" t="str">
        <f t="shared" si="0"/>
        <v>Probabilidad</v>
      </c>
      <c r="R11" s="142" t="s">
        <v>92</v>
      </c>
      <c r="S11" s="142" t="s">
        <v>93</v>
      </c>
      <c r="T11" s="143" t="str">
        <f t="shared" si="1"/>
        <v>40%</v>
      </c>
      <c r="U11" s="142" t="s">
        <v>94</v>
      </c>
      <c r="V11" s="142" t="s">
        <v>95</v>
      </c>
      <c r="W11" s="142" t="s">
        <v>96</v>
      </c>
      <c r="X11" s="144" t="str">
        <f>IFERROR(IF(AND(#REF!="Probabilidad",Q11="Probabilidad"),(#REF!-(+#REF!*T11)),IF(AND(#REF!="Impacto",Q11="Probabilidad"),(Z10-(+Z10*T11)),IF(Q11="Impacto",#REF!,""))),"")</f>
        <v/>
      </c>
      <c r="Y11" s="145" t="str">
        <f>IFERROR(IF(X11="","",IF(X11&lt;=0.2,"Muy Baja",IF(X11&lt;=0.4,"Baja",IF(X11&lt;=0.6,"Media",IF(X11&lt;=0.8,"Alta","Muy Alta"))))),"")</f>
        <v/>
      </c>
      <c r="Z11" s="146" t="str">
        <f t="shared" ref="Z11" si="4">+X11</f>
        <v/>
      </c>
      <c r="AA11" s="145" t="str">
        <f>IFERROR(IF(AB11="","",IF(AB11&lt;=0.2,"Leve",IF(AB11&lt;=0.4,"Menor",IF(AB11&lt;=0.6,"Moderado",IF(AB11&lt;=0.8,"Mayor","Catastrófico"))))),"")</f>
        <v>Leve</v>
      </c>
      <c r="AB11" s="146">
        <f>IFERROR(IF(Q11="Impacto",(M11-(+M11*T11)),IF(Q11="Probabilidad",M11,"")),"")</f>
        <v>0</v>
      </c>
      <c r="AC11" s="147" t="str">
        <f t="shared" si="3"/>
        <v/>
      </c>
      <c r="AD11" s="148" t="s">
        <v>105</v>
      </c>
      <c r="AE11" s="154" t="s">
        <v>328</v>
      </c>
      <c r="AF11" s="149" t="s">
        <v>260</v>
      </c>
      <c r="AG11" s="149" t="s">
        <v>470</v>
      </c>
      <c r="AH11" s="156" t="s">
        <v>328</v>
      </c>
      <c r="AI11" s="149" t="s">
        <v>363</v>
      </c>
      <c r="AJ11" s="154"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link="1"/>
  <mergeCells count="59">
    <mergeCell ref="B12:AJ12"/>
    <mergeCell ref="M10:M11"/>
    <mergeCell ref="N10:N11"/>
    <mergeCell ref="G10:G11"/>
    <mergeCell ref="H10:H11"/>
    <mergeCell ref="I10:I11"/>
    <mergeCell ref="J10:J11"/>
    <mergeCell ref="K10:K11"/>
    <mergeCell ref="L10:L11"/>
    <mergeCell ref="A10:A11"/>
    <mergeCell ref="B10:B11"/>
    <mergeCell ref="C10:C11"/>
    <mergeCell ref="D10:D11"/>
    <mergeCell ref="E10:E11"/>
    <mergeCell ref="F10:F11"/>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Y10:Y11">
    <cfRule type="cellIs" dxfId="122" priority="250" operator="equal">
      <formula>"Muy Alta"</formula>
    </cfRule>
    <cfRule type="cellIs" dxfId="121" priority="251" operator="equal">
      <formula>"Alta"</formula>
    </cfRule>
    <cfRule type="cellIs" dxfId="120" priority="252" operator="equal">
      <formula>"Media"</formula>
    </cfRule>
    <cfRule type="cellIs" dxfId="119" priority="253" operator="equal">
      <formula>"Baja"</formula>
    </cfRule>
    <cfRule type="cellIs" dxfId="118" priority="254" operator="equal">
      <formula>"Muy Baja"</formula>
    </cfRule>
  </conditionalFormatting>
  <conditionalFormatting sqref="L10 AA10">
    <cfRule type="cellIs" dxfId="117" priority="245" operator="equal">
      <formula>"Catastrófico"</formula>
    </cfRule>
    <cfRule type="cellIs" dxfId="116" priority="246" operator="equal">
      <formula>"Mayor"</formula>
    </cfRule>
    <cfRule type="cellIs" dxfId="115" priority="247" operator="equal">
      <formula>"Moderado"</formula>
    </cfRule>
    <cfRule type="cellIs" dxfId="114" priority="248" operator="equal">
      <formula>"Menor"</formula>
    </cfRule>
    <cfRule type="cellIs" dxfId="113" priority="249" operator="equal">
      <formula>"Leve"</formula>
    </cfRule>
  </conditionalFormatting>
  <conditionalFormatting sqref="N10 AC10">
    <cfRule type="cellIs" dxfId="112" priority="241" operator="equal">
      <formula>"Extremo"</formula>
    </cfRule>
    <cfRule type="cellIs" dxfId="111" priority="242" operator="equal">
      <formula>"Alto"</formula>
    </cfRule>
    <cfRule type="cellIs" dxfId="110" priority="243" operator="equal">
      <formula>"Moderado"</formula>
    </cfRule>
    <cfRule type="cellIs" dxfId="109" priority="244" operator="equal">
      <formula>"Bajo"</formula>
    </cfRule>
  </conditionalFormatting>
  <conditionalFormatting sqref="K10:K11">
    <cfRule type="containsText" dxfId="108" priority="24" operator="containsText" text="❌">
      <formula>NOT(ISERROR(SEARCH("❌",K10)))</formula>
    </cfRule>
  </conditionalFormatting>
  <conditionalFormatting sqref="AA11">
    <cfRule type="cellIs" dxfId="107" priority="14" operator="equal">
      <formula>"Catastrófico"</formula>
    </cfRule>
    <cfRule type="cellIs" dxfId="106" priority="15" operator="equal">
      <formula>"Mayor"</formula>
    </cfRule>
    <cfRule type="cellIs" dxfId="105" priority="16" operator="equal">
      <formula>"Moderado"</formula>
    </cfRule>
    <cfRule type="cellIs" dxfId="104" priority="17" operator="equal">
      <formula>"Menor"</formula>
    </cfRule>
    <cfRule type="cellIs" dxfId="103" priority="18" operator="equal">
      <formula>"Leve"</formula>
    </cfRule>
  </conditionalFormatting>
  <conditionalFormatting sqref="AC11">
    <cfRule type="cellIs" dxfId="102" priority="1" operator="equal">
      <formula>"Extremo"</formula>
    </cfRule>
    <cfRule type="cellIs" dxfId="101" priority="2" operator="equal">
      <formula>"Alto"</formula>
    </cfRule>
    <cfRule type="cellIs" dxfId="100" priority="3" operator="equal">
      <formula>"Moderado"</formula>
    </cfRule>
    <cfRule type="cellIs" dxfId="99" priority="4" operator="equal">
      <formula>"Bajo"</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060"/>
  </sheetPr>
  <dimension ref="A1:BP14"/>
  <sheetViews>
    <sheetView zoomScale="60" zoomScaleNormal="60" workbookViewId="0">
      <pane xSplit="16" ySplit="9" topLeftCell="Q10" activePane="bottomRight" state="frozen"/>
      <selection pane="topRight" activeCell="Q1" sqref="Q1"/>
      <selection pane="bottomLeft" activeCell="A10" sqref="A10"/>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6" width="18.5703125"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214</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212</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213</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64</v>
      </c>
      <c r="B7" s="251"/>
      <c r="C7" s="251"/>
      <c r="D7" s="251"/>
      <c r="E7" s="251"/>
      <c r="F7" s="251"/>
      <c r="G7" s="252"/>
      <c r="H7" s="250" t="s">
        <v>65</v>
      </c>
      <c r="I7" s="251"/>
      <c r="J7" s="251"/>
      <c r="K7" s="251"/>
      <c r="L7" s="251"/>
      <c r="M7" s="251"/>
      <c r="N7" s="252"/>
      <c r="O7" s="250" t="s">
        <v>66</v>
      </c>
      <c r="P7" s="251"/>
      <c r="Q7" s="251"/>
      <c r="R7" s="251"/>
      <c r="S7" s="251"/>
      <c r="T7" s="251"/>
      <c r="U7" s="251"/>
      <c r="V7" s="251"/>
      <c r="W7" s="252"/>
      <c r="X7" s="250" t="s">
        <v>67</v>
      </c>
      <c r="Y7" s="251"/>
      <c r="Z7" s="251"/>
      <c r="AA7" s="251"/>
      <c r="AB7" s="251"/>
      <c r="AC7" s="251"/>
      <c r="AD7" s="252"/>
      <c r="AE7" s="250" t="s">
        <v>68</v>
      </c>
      <c r="AF7" s="251"/>
      <c r="AG7" s="251"/>
      <c r="AH7" s="251"/>
      <c r="AI7" s="251"/>
      <c r="AJ7" s="25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72"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7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102</v>
      </c>
      <c r="C10" s="237" t="s">
        <v>109</v>
      </c>
      <c r="D10" s="237" t="s">
        <v>215</v>
      </c>
      <c r="E10" s="239" t="s">
        <v>366</v>
      </c>
      <c r="F10" s="237" t="s">
        <v>103</v>
      </c>
      <c r="G10" s="231">
        <v>4</v>
      </c>
      <c r="H10" s="233" t="str">
        <f>IF(G10&lt;=0,"",IF(G10&lt;=2,"Muy Baja",IF(G10&lt;=24,"Baja",IF(G10&lt;=500,"Media",IF(G10&lt;=5000,"Alta","Muy Alta")))))</f>
        <v>Baja</v>
      </c>
      <c r="I10" s="217">
        <f>IF(H10="","",IF(H10="Muy Baja",0.2,IF(H10="Baja",0.4,IF(H10="Media",0.6,IF(H10="Alta",0.8,IF(H10="Muy Alta",1,))))))</f>
        <v>0.4</v>
      </c>
      <c r="J10" s="235" t="s">
        <v>165</v>
      </c>
      <c r="K10" s="217" t="str">
        <f ca="1">IF(NOT(ISERROR(MATCH(J10,'Tabla Impacto'!$B$221:$B$223,0))),'Tabla Impacto'!$F$223&amp;"Por favor no seleccionar los criterios de impacto(Afectación Económica o presupuestal y Pérdida Reputacional)",J10)</f>
        <v xml:space="preserve">     Afectación menor a 10 SMLMV .</v>
      </c>
      <c r="L10" s="233" t="str">
        <f ca="1">IF(OR(K10='Tabla Impacto'!$C$11,K10='Tabla Impacto'!$D$11),"Leve",IF(OR(K10='Tabla Impacto'!$C$12,K10='Tabla Impacto'!$D$12),"Menor",IF(OR(K10='Tabla Impacto'!$C$13,K10='Tabla Impacto'!$D$13),"Moderado",IF(OR(K10='Tabla Impacto'!$C$14,K10='Tabla Impacto'!$D$14),"Mayor",IF(OR(K10='Tabla Impacto'!$C$15,K10='Tabla Impacto'!$D$15),"Catastrófico","")))))</f>
        <v>Leve</v>
      </c>
      <c r="M10" s="217">
        <f ca="1">IF(L10="","",IF(L10="Leve",0.2,IF(L10="Menor",0.4,IF(L10="Moderado",0.6,IF(L10="Mayor",0.8,IF(L10="Catastrófico",1,))))))</f>
        <v>0.2</v>
      </c>
      <c r="N10" s="219"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53">
        <v>1</v>
      </c>
      <c r="P10" s="125" t="s">
        <v>438</v>
      </c>
      <c r="Q10" s="141" t="str">
        <f t="shared" ref="Q10:Q11" si="0">IF(OR(R10="Preventivo",R10="Detectivo"),"Probabilidad",IF(R10="Correctivo","Impacto",""))</f>
        <v>Probabilidad</v>
      </c>
      <c r="R10" s="142" t="s">
        <v>98</v>
      </c>
      <c r="S10" s="142" t="s">
        <v>93</v>
      </c>
      <c r="T10" s="143" t="str">
        <f t="shared" ref="T10:T11" si="1">IF(AND(R10="Preventivo",S10="Automático"),"50%",IF(AND(R10="Preventivo",S10="Manual"),"40%",IF(AND(R10="Detectivo",S10="Automático"),"40%",IF(AND(R10="Detectivo",S10="Manual"),"30%",IF(AND(R10="Correctivo",S10="Automático"),"35%",IF(AND(R10="Correctivo",S10="Manual"),"25%",""))))))</f>
        <v>30%</v>
      </c>
      <c r="U10" s="142" t="s">
        <v>94</v>
      </c>
      <c r="V10" s="142" t="s">
        <v>95</v>
      </c>
      <c r="W10" s="142" t="s">
        <v>96</v>
      </c>
      <c r="X10" s="144">
        <f>IFERROR(IF(Q10="Probabilidad",(I10-(+I10*T10)),IF(Q10="Impacto",I10,"")),"")</f>
        <v>0.28000000000000003</v>
      </c>
      <c r="Y10" s="145" t="str">
        <f>IFERROR(IF(X10="","",IF(X10&lt;=0.2,"Muy Baja",IF(X10&lt;=0.4,"Baja",IF(X10&lt;=0.6,"Media",IF(X10&lt;=0.8,"Alta","Muy Alta"))))),"")</f>
        <v>Baja</v>
      </c>
      <c r="Z10" s="146">
        <f t="shared" ref="Z10:Z11" si="2">+X10</f>
        <v>0.28000000000000003</v>
      </c>
      <c r="AA10" s="145" t="str">
        <f ca="1">IFERROR(IF(AB10="","",IF(AB10&lt;=0.2,"Leve",IF(AB10&lt;=0.4,"Menor",IF(AB10&lt;=0.6,"Moderado",IF(AB10&lt;=0.8,"Mayor","Catastrófico"))))),"")</f>
        <v>Leve</v>
      </c>
      <c r="AB10" s="146">
        <f ca="1">IFERROR(IF(Q10="Impacto",(M10-(+M10*T10)),IF(Q10="Probabilidad",M10,"")),"")</f>
        <v>0.2</v>
      </c>
      <c r="AC10" s="147" t="str">
        <f t="shared" ref="AC10:AC11" ca="1"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48" t="s">
        <v>97</v>
      </c>
      <c r="AE10" s="149" t="s">
        <v>328</v>
      </c>
      <c r="AF10" s="149" t="s">
        <v>350</v>
      </c>
      <c r="AG10" s="149" t="s">
        <v>467</v>
      </c>
      <c r="AH10" s="150" t="s">
        <v>328</v>
      </c>
      <c r="AI10" s="150" t="s">
        <v>365</v>
      </c>
      <c r="AJ10" s="150"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25" t="s">
        <v>437</v>
      </c>
      <c r="Q11" s="141" t="str">
        <f t="shared" si="0"/>
        <v>Probabilidad</v>
      </c>
      <c r="R11" s="142" t="s">
        <v>98</v>
      </c>
      <c r="S11" s="142" t="s">
        <v>93</v>
      </c>
      <c r="T11" s="143" t="str">
        <f t="shared" si="1"/>
        <v>30%</v>
      </c>
      <c r="U11" s="142" t="s">
        <v>94</v>
      </c>
      <c r="V11" s="142" t="s">
        <v>95</v>
      </c>
      <c r="W11" s="142" t="s">
        <v>96</v>
      </c>
      <c r="X11" s="144">
        <f>IFERROR(IF(AND(Q10="Probabilidad",Q11="Probabilidad"),(Z10-(+Z10*T11)),IF(Q11="Probabilidad",(I10-(+I10*T11)),IF(Q11="Impacto",Z10,""))),"")</f>
        <v>0.19600000000000001</v>
      </c>
      <c r="Y11" s="145" t="str">
        <f t="shared" ref="Y11" si="4">IFERROR(IF(X11="","",IF(X11&lt;=0.2,"Muy Baja",IF(X11&lt;=0.4,"Baja",IF(X11&lt;=0.6,"Media",IF(X11&lt;=0.8,"Alta","Muy Alta"))))),"")</f>
        <v>Muy Baja</v>
      </c>
      <c r="Z11" s="146">
        <f t="shared" si="2"/>
        <v>0.19600000000000001</v>
      </c>
      <c r="AA11" s="145" t="str">
        <f t="shared" ref="AA11" ca="1" si="5">IFERROR(IF(AB11="","",IF(AB11&lt;=0.2,"Leve",IF(AB11&lt;=0.4,"Menor",IF(AB11&lt;=0.6,"Moderado",IF(AB11&lt;=0.8,"Mayor","Catastrófico"))))),"")</f>
        <v>Leve</v>
      </c>
      <c r="AB11" s="146">
        <f ca="1">IFERROR(IF(AND(Q10="Impacto",Q11="Impacto"),(AB10-(+AB10*T11)),IF(Q11="Impacto",($M$10-(+$M$10*T11)),IF(Q11="Probabilidad",AB10,""))),"")</f>
        <v>0.2</v>
      </c>
      <c r="AC11" s="147" t="str">
        <f t="shared" ca="1" si="3"/>
        <v>Bajo</v>
      </c>
      <c r="AD11" s="148" t="s">
        <v>97</v>
      </c>
      <c r="AE11" s="154" t="s">
        <v>328</v>
      </c>
      <c r="AF11" s="149" t="s">
        <v>350</v>
      </c>
      <c r="AG11" s="149" t="s">
        <v>467</v>
      </c>
      <c r="AH11" s="150" t="s">
        <v>328</v>
      </c>
      <c r="AI11" s="149" t="s">
        <v>351</v>
      </c>
      <c r="AJ11" s="150"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row>
    <row r="14" spans="1:68" x14ac:dyDescent="0.3">
      <c r="A14" s="1"/>
      <c r="B14" s="25" t="s">
        <v>112</v>
      </c>
      <c r="C14" s="1"/>
      <c r="D14" s="1"/>
      <c r="F14" s="1"/>
    </row>
  </sheetData>
  <dataConsolidate/>
  <mergeCells count="59">
    <mergeCell ref="A1:AJ2"/>
    <mergeCell ref="A7:G7"/>
    <mergeCell ref="H7:N7"/>
    <mergeCell ref="O7:W7"/>
    <mergeCell ref="X7:AD7"/>
    <mergeCell ref="AE7:AJ7"/>
    <mergeCell ref="B12:AJ12"/>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C4:N4"/>
    <mergeCell ref="O4:Q4"/>
    <mergeCell ref="N8:N9"/>
    <mergeCell ref="J8:J9"/>
    <mergeCell ref="K8:K9"/>
    <mergeCell ref="Q8:Q9"/>
    <mergeCell ref="R8:W8"/>
    <mergeCell ref="AE8:AE9"/>
    <mergeCell ref="AI8:AI9"/>
    <mergeCell ref="AH8:AH9"/>
    <mergeCell ref="AG8:AG9"/>
    <mergeCell ref="AF8:AF9"/>
    <mergeCell ref="AJ8:AJ9"/>
    <mergeCell ref="F10:F11"/>
    <mergeCell ref="G10:G11"/>
    <mergeCell ref="H10:H11"/>
    <mergeCell ref="A10:A11"/>
    <mergeCell ref="B10:B11"/>
    <mergeCell ref="C10:C11"/>
    <mergeCell ref="D10:D11"/>
    <mergeCell ref="E10:E11"/>
    <mergeCell ref="N10:N11"/>
    <mergeCell ref="I10:I11"/>
    <mergeCell ref="J10:J11"/>
    <mergeCell ref="K10:K11"/>
    <mergeCell ref="L10:L11"/>
    <mergeCell ref="M10:M11"/>
    <mergeCell ref="AA8:AA9"/>
    <mergeCell ref="Y8:Y9"/>
    <mergeCell ref="Z8:Z9"/>
    <mergeCell ref="G8:G9"/>
    <mergeCell ref="H8:H9"/>
    <mergeCell ref="I8:I9"/>
    <mergeCell ref="L8:L9"/>
    <mergeCell ref="M8:M9"/>
    <mergeCell ref="B8:B9"/>
  </mergeCells>
  <phoneticPr fontId="54" type="noConversion"/>
  <conditionalFormatting sqref="H10">
    <cfRule type="cellIs" dxfId="98" priority="319" operator="equal">
      <formula>"Muy Alta"</formula>
    </cfRule>
    <cfRule type="cellIs" dxfId="97" priority="320" operator="equal">
      <formula>"Alta"</formula>
    </cfRule>
    <cfRule type="cellIs" dxfId="96" priority="321" operator="equal">
      <formula>"Media"</formula>
    </cfRule>
    <cfRule type="cellIs" dxfId="95" priority="322" operator="equal">
      <formula>"Baja"</formula>
    </cfRule>
    <cfRule type="cellIs" dxfId="94" priority="323" operator="equal">
      <formula>"Muy Baja"</formula>
    </cfRule>
  </conditionalFormatting>
  <conditionalFormatting sqref="L10">
    <cfRule type="cellIs" dxfId="93" priority="314" operator="equal">
      <formula>"Catastrófico"</formula>
    </cfRule>
    <cfRule type="cellIs" dxfId="92" priority="315" operator="equal">
      <formula>"Mayor"</formula>
    </cfRule>
    <cfRule type="cellIs" dxfId="91" priority="316" operator="equal">
      <formula>"Moderado"</formula>
    </cfRule>
    <cfRule type="cellIs" dxfId="90" priority="317" operator="equal">
      <formula>"Menor"</formula>
    </cfRule>
    <cfRule type="cellIs" dxfId="89" priority="318" operator="equal">
      <formula>"Leve"</formula>
    </cfRule>
  </conditionalFormatting>
  <conditionalFormatting sqref="N10">
    <cfRule type="cellIs" dxfId="88" priority="310" operator="equal">
      <formula>"Extremo"</formula>
    </cfRule>
    <cfRule type="cellIs" dxfId="87" priority="311" operator="equal">
      <formula>"Alto"</formula>
    </cfRule>
    <cfRule type="cellIs" dxfId="86" priority="312" operator="equal">
      <formula>"Moderado"</formula>
    </cfRule>
    <cfRule type="cellIs" dxfId="85" priority="313" operator="equal">
      <formula>"Bajo"</formula>
    </cfRule>
  </conditionalFormatting>
  <conditionalFormatting sqref="Y10:Y11">
    <cfRule type="cellIs" dxfId="84" priority="305" operator="equal">
      <formula>"Muy Alta"</formula>
    </cfRule>
    <cfRule type="cellIs" dxfId="83" priority="306" operator="equal">
      <formula>"Alta"</formula>
    </cfRule>
    <cfRule type="cellIs" dxfId="82" priority="307" operator="equal">
      <formula>"Media"</formula>
    </cfRule>
    <cfRule type="cellIs" dxfId="81" priority="308" operator="equal">
      <formula>"Baja"</formula>
    </cfRule>
    <cfRule type="cellIs" dxfId="80" priority="309" operator="equal">
      <formula>"Muy Baja"</formula>
    </cfRule>
  </conditionalFormatting>
  <conditionalFormatting sqref="AA10:AA11">
    <cfRule type="cellIs" dxfId="79" priority="300" operator="equal">
      <formula>"Catastrófico"</formula>
    </cfRule>
    <cfRule type="cellIs" dxfId="78" priority="301" operator="equal">
      <formula>"Mayor"</formula>
    </cfRule>
    <cfRule type="cellIs" dxfId="77" priority="302" operator="equal">
      <formula>"Moderado"</formula>
    </cfRule>
    <cfRule type="cellIs" dxfId="76" priority="303" operator="equal">
      <formula>"Menor"</formula>
    </cfRule>
    <cfRule type="cellIs" dxfId="75" priority="304" operator="equal">
      <formula>"Leve"</formula>
    </cfRule>
  </conditionalFormatting>
  <conditionalFormatting sqref="AC10:AC11">
    <cfRule type="cellIs" dxfId="74" priority="296" operator="equal">
      <formula>"Extremo"</formula>
    </cfRule>
    <cfRule type="cellIs" dxfId="73" priority="297" operator="equal">
      <formula>"Alto"</formula>
    </cfRule>
    <cfRule type="cellIs" dxfId="72" priority="298" operator="equal">
      <formula>"Moderado"</formula>
    </cfRule>
    <cfRule type="cellIs" dxfId="71" priority="299" operator="equal">
      <formula>"Bajo"</formula>
    </cfRule>
  </conditionalFormatting>
  <conditionalFormatting sqref="K10:K11">
    <cfRule type="containsText" dxfId="70" priority="1" operator="containsText" text="❌">
      <formula>NOT(ISERROR(SEARCH("❌",K10)))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D00-000000000000}">
          <x14:formula1>
            <xm:f>'Tabla Valoración controles'!$D$4:$D$6</xm:f>
          </x14:formula1>
          <xm:sqref>R10:R11</xm:sqref>
        </x14:dataValidation>
        <x14:dataValidation type="list" allowBlank="1" showInputMessage="1" showErrorMessage="1" xr:uid="{00000000-0002-0000-0D00-000001000000}">
          <x14:formula1>
            <xm:f>'Tabla Valoración controles'!$D$7:$D$8</xm:f>
          </x14:formula1>
          <xm:sqref>S10:S11</xm:sqref>
        </x14:dataValidation>
        <x14:dataValidation type="list" allowBlank="1" showInputMessage="1" showErrorMessage="1" xr:uid="{00000000-0002-0000-0D00-000002000000}">
          <x14:formula1>
            <xm:f>'Tabla Valoración controles'!$D$9:$D$10</xm:f>
          </x14:formula1>
          <xm:sqref>U10:U11</xm:sqref>
        </x14:dataValidation>
        <x14:dataValidation type="list" allowBlank="1" showInputMessage="1" showErrorMessage="1" xr:uid="{00000000-0002-0000-0D00-000003000000}">
          <x14:formula1>
            <xm:f>'Tabla Valoración controles'!$D$11:$D$12</xm:f>
          </x14:formula1>
          <xm:sqref>V10:V11</xm:sqref>
        </x14:dataValidation>
        <x14:dataValidation type="list" allowBlank="1" showInputMessage="1" showErrorMessage="1" xr:uid="{00000000-0002-0000-0D00-000004000000}">
          <x14:formula1>
            <xm:f>'Tabla Valoración controles'!$D$13:$D$14</xm:f>
          </x14:formula1>
          <xm:sqref>W10:W11</xm:sqref>
        </x14:dataValidation>
        <x14:dataValidation type="list" allowBlank="1" showInputMessage="1" showErrorMessage="1" xr:uid="{00000000-0002-0000-0D00-000005000000}">
          <x14:formula1>
            <xm:f>'Opciones Tratamiento'!$B$13:$B$19</xm:f>
          </x14:formula1>
          <xm:sqref>F10:F11</xm:sqref>
        </x14:dataValidation>
        <x14:dataValidation type="list" allowBlank="1" showInputMessage="1" showErrorMessage="1" xr:uid="{00000000-0002-0000-0D00-000006000000}">
          <x14:formula1>
            <xm:f>'Opciones Tratamiento'!$E$2:$E$4</xm:f>
          </x14:formula1>
          <xm:sqref>B10:B11</xm:sqref>
        </x14:dataValidation>
        <x14:dataValidation type="list" allowBlank="1" showInputMessage="1" showErrorMessage="1" xr:uid="{00000000-0002-0000-0D00-000007000000}">
          <x14:formula1>
            <xm:f>'Opciones Tratamiento'!$B$2:$B$5</xm:f>
          </x14:formula1>
          <xm:sqref>AD10:AD11</xm:sqref>
        </x14:dataValidation>
        <x14:dataValidation type="list" allowBlank="1" showInputMessage="1" showErrorMessage="1" xr:uid="{00000000-0002-0000-0D00-000008000000}">
          <x14:formula1>
            <xm:f>'Tabla Impacto'!$F$210:$F$221</xm:f>
          </x14:formula1>
          <xm:sqref>J10:J11</xm:sqref>
        </x14:dataValidation>
        <x14:dataValidation type="custom" allowBlank="1" showInputMessage="1" showErrorMessage="1" error="Recuerde que las acciones se generan bajo la medida de mitigar el riesgo" xr:uid="{00000000-0002-0000-0D00-000009000000}">
          <x14:formula1>
            <xm:f>IF(OR(AD10='Opciones Tratamiento'!$B$2,AD10='Opciones Tratamiento'!$B$3,AD10='Opciones Tratamiento'!$B$4),ISBLANK(AD10),ISTEXT(AD10))</xm:f>
          </x14:formula1>
          <xm:sqref>AE10:AE11</xm:sqref>
        </x14:dataValidation>
        <x14:dataValidation type="custom" allowBlank="1" showInputMessage="1" showErrorMessage="1" error="Recuerde que las acciones se generan bajo la medida de mitigar el riesgo" xr:uid="{00000000-0002-0000-0D00-00000A000000}">
          <x14:formula1>
            <xm:f>IF(OR(AD10='Opciones Tratamiento'!$B$2,AD10='Opciones Tratamiento'!$B$3,AD10='Opciones Tratamiento'!$B$4),ISBLANK(AD10),ISTEXT(AD10))</xm:f>
          </x14:formula1>
          <xm:sqref>AF10:AF11</xm:sqref>
        </x14:dataValidation>
        <x14:dataValidation type="custom" allowBlank="1" showInputMessage="1" showErrorMessage="1" error="Recuerde que las acciones se generan bajo la medida de mitigar el riesgo" xr:uid="{00000000-0002-0000-0D00-00000B000000}">
          <x14:formula1>
            <xm:f>IF(OR(AD10='Opciones Tratamiento'!$B$2,AD10='Opciones Tratamiento'!$B$3,AD10='Opciones Tratamiento'!$B$4),ISBLANK(AD10),ISTEXT(AD10))</xm:f>
          </x14:formula1>
          <xm:sqref>AG10:AG11</xm:sqref>
        </x14:dataValidation>
        <x14:dataValidation type="custom" allowBlank="1" showInputMessage="1" showErrorMessage="1" error="Recuerde que las acciones se generan bajo la medida de mitigar el riesgo" xr:uid="{00000000-0002-0000-0D00-00000C000000}">
          <x14:formula1>
            <xm:f>IF(OR(AD10='Opciones Tratamiento'!$B$2,AD10='Opciones Tratamiento'!$B$3,AD10='Opciones Tratamiento'!$B$4),ISBLANK(AD10),ISTEXT(AD10))</xm:f>
          </x14:formula1>
          <xm:sqref>AH10:AH11</xm:sqref>
        </x14:dataValidation>
        <x14:dataValidation type="custom" allowBlank="1" showInputMessage="1" showErrorMessage="1" error="Recuerde que las acciones se generan bajo la medida de mitigar el riesgo" xr:uid="{00000000-0002-0000-0D00-00000D000000}">
          <x14:formula1>
            <xm:f>IF(OR(AD10='Opciones Tratamiento'!$B$2,AD10='Opciones Tratamiento'!$B$3,AD10='Opciones Tratamiento'!$B$4),ISBLANK(AD10),ISTEXT(AD10))</xm:f>
          </x14:formula1>
          <xm:sqref>AI10:AJ11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060"/>
  </sheetPr>
  <dimension ref="A1:BP18"/>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84" t="s">
        <v>239</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84" t="s">
        <v>240</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241</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89</v>
      </c>
      <c r="C10" s="237" t="s">
        <v>242</v>
      </c>
      <c r="D10" s="237" t="s">
        <v>243</v>
      </c>
      <c r="E10" s="239" t="s">
        <v>244</v>
      </c>
      <c r="F10" s="237" t="s">
        <v>90</v>
      </c>
      <c r="G10" s="231">
        <v>12</v>
      </c>
      <c r="H10" s="233" t="str">
        <f>IF(G10&lt;=0,"",IF(G10&lt;=2,"Muy Baja",IF(G10&lt;=24,"Baja",IF(G10&lt;=500,"Media",IF(G10&lt;=5000,"Alta","Muy Alta")))))</f>
        <v>Baja</v>
      </c>
      <c r="I10" s="217">
        <f>IF(H10="","",IF(H10="Muy Baja",0.2,IF(H10="Baja",0.4,IF(H10="Media",0.6,IF(H10="Alta",0.8,IF(H10="Muy Alta",1,))))))</f>
        <v>0.4</v>
      </c>
      <c r="J10" s="235" t="s">
        <v>167</v>
      </c>
      <c r="K10" s="217" t="str">
        <f>IF(NOT(ISERROR(MATCH(J10,'[14]Tabla Impacto'!$B$221:$B$223,0))),'[14]Tabla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3" t="str">
        <f>IF(OR(K10='[14]Tabla Impacto'!$C$11,K10='[14]Tabla Impacto'!$D$11),"Leve",IF(OR(K10='[14]Tabla Impacto'!$C$12,K10='[14]Tabla Impacto'!$D$12),"Menor",IF(OR(K10='[14]Tabla Impacto'!$C$13,K10='[14]Tabla Impacto'!$D$13),"Moderado",IF(OR(K10='[14]Tabla Impacto'!$C$14,K10='[14]Tabla Impacto'!$D$14),"Mayor",IF(OR(K10='[14]Tabla Impacto'!$C$15,K10='[14]Tabla Impacto'!$D$15),"Catastrófico","")))))</f>
        <v>Menor</v>
      </c>
      <c r="M10" s="217">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23" t="s">
        <v>245</v>
      </c>
      <c r="Q10" s="141" t="str">
        <f t="shared" ref="Q10:Q15" si="0">IF(OR(R10="Preventivo",R10="Detectivo"),"Probabilidad",IF(R10="Correctivo","Impacto",""))</f>
        <v>Probabilidad</v>
      </c>
      <c r="R10" s="142" t="s">
        <v>98</v>
      </c>
      <c r="S10" s="142" t="s">
        <v>93</v>
      </c>
      <c r="T10" s="143" t="str">
        <f t="shared" ref="T10:T15" si="1">IF(AND(R10="Preventivo",S10="Automático"),"50%",IF(AND(R10="Preventivo",S10="Manual"),"40%",IF(AND(R10="Detectivo",S10="Automático"),"40%",IF(AND(R10="Detectivo",S10="Manual"),"30%",IF(AND(R10="Correctivo",S10="Automático"),"35%",IF(AND(R10="Correctivo",S10="Manual"),"25%",""))))))</f>
        <v>30%</v>
      </c>
      <c r="U10" s="142" t="s">
        <v>94</v>
      </c>
      <c r="V10" s="142" t="s">
        <v>95</v>
      </c>
      <c r="W10" s="142" t="s">
        <v>96</v>
      </c>
      <c r="X10" s="144">
        <f>IFERROR(IF(Q10="Probabilidad",(I10-(+I10*T10)),IF(Q10="Impacto",I10,"")),"")</f>
        <v>0.28000000000000003</v>
      </c>
      <c r="Y10" s="145" t="str">
        <f>IFERROR(IF(X10="","",IF(X10&lt;=0.2,"Muy Baja",IF(X10&lt;=0.4,"Baja",IF(X10&lt;=0.6,"Media",IF(X10&lt;=0.8,"Alta","Muy Alta"))))),"")</f>
        <v>Baja</v>
      </c>
      <c r="Z10" s="146">
        <f t="shared" ref="Z10:Z15" si="2">+X10</f>
        <v>0.28000000000000003</v>
      </c>
      <c r="AA10" s="145" t="str">
        <f>IFERROR(IF(AB10="","",IF(AB10&lt;=0.2,"Leve",IF(AB10&lt;=0.4,"Menor",IF(AB10&lt;=0.6,"Moderado",IF(AB10&lt;=0.8,"Mayor","Catastrófico"))))),"")</f>
        <v>Menor</v>
      </c>
      <c r="AB10" s="146">
        <f>IFERROR(IF(Q10="Impacto",(M10-(+M10*T10)),IF(Q10="Probabilidad",M10,"")),"")</f>
        <v>0.4</v>
      </c>
      <c r="AC10" s="147" t="str">
        <f t="shared" ref="AC10:AC15"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97</v>
      </c>
      <c r="AE10" s="154" t="s">
        <v>328</v>
      </c>
      <c r="AF10" s="149" t="s">
        <v>352</v>
      </c>
      <c r="AG10" s="149" t="s">
        <v>467</v>
      </c>
      <c r="AH10" s="149" t="s">
        <v>328</v>
      </c>
      <c r="AI10" s="150" t="s">
        <v>353</v>
      </c>
      <c r="AJ10" s="149"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24" t="s">
        <v>246</v>
      </c>
      <c r="Q11" s="141" t="str">
        <f t="shared" si="0"/>
        <v>Probabilidad</v>
      </c>
      <c r="R11" s="142" t="s">
        <v>92</v>
      </c>
      <c r="S11" s="142" t="s">
        <v>93</v>
      </c>
      <c r="T11" s="143" t="str">
        <f t="shared" si="1"/>
        <v>40%</v>
      </c>
      <c r="U11" s="142" t="s">
        <v>94</v>
      </c>
      <c r="V11" s="142" t="s">
        <v>95</v>
      </c>
      <c r="W11" s="142" t="s">
        <v>96</v>
      </c>
      <c r="X11" s="144">
        <f>IFERROR(IF(AND(Q10="Probabilidad",Q11="Probabilidad"),(Z10-(+Z10*T11)),IF(Q11="Probabilidad",(I10-(+I10*T11)),IF(Q11="Impacto",Z10,""))),"")</f>
        <v>0.16800000000000001</v>
      </c>
      <c r="Y11" s="145" t="str">
        <f t="shared" ref="Y11:Y15" si="4">IFERROR(IF(X11="","",IF(X11&lt;=0.2,"Muy Baja",IF(X11&lt;=0.4,"Baja",IF(X11&lt;=0.6,"Media",IF(X11&lt;=0.8,"Alta","Muy Alta"))))),"")</f>
        <v>Muy Baja</v>
      </c>
      <c r="Z11" s="146">
        <f t="shared" si="2"/>
        <v>0.16800000000000001</v>
      </c>
      <c r="AA11" s="145" t="str">
        <f t="shared" ref="AA11:AA15" si="5">IFERROR(IF(AB11="","",IF(AB11&lt;=0.2,"Leve",IF(AB11&lt;=0.4,"Menor",IF(AB11&lt;=0.6,"Moderado",IF(AB11&lt;=0.8,"Mayor","Catastrófico"))))),"")</f>
        <v>Menor</v>
      </c>
      <c r="AB11" s="146">
        <f>IFERROR(IF(AND(Q10="Impacto",Q11="Impacto"),(AB10-(+AB10*T11)),IF(Q11="Impacto",($M$10-(+$M$10*T11)),IF(Q11="Probabilidad",AB10,""))),"")</f>
        <v>0.4</v>
      </c>
      <c r="AC11" s="147" t="str">
        <f t="shared" si="3"/>
        <v>Bajo</v>
      </c>
      <c r="AD11" s="148" t="s">
        <v>97</v>
      </c>
      <c r="AE11" s="154" t="s">
        <v>328</v>
      </c>
      <c r="AF11" s="149" t="s">
        <v>352</v>
      </c>
      <c r="AG11" s="149" t="s">
        <v>467</v>
      </c>
      <c r="AH11" s="149" t="s">
        <v>328</v>
      </c>
      <c r="AI11" s="149" t="s">
        <v>435</v>
      </c>
      <c r="AJ11" s="149"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1">
        <v>2</v>
      </c>
      <c r="B12" s="223" t="s">
        <v>89</v>
      </c>
      <c r="C12" s="223" t="s">
        <v>247</v>
      </c>
      <c r="D12" s="223" t="s">
        <v>248</v>
      </c>
      <c r="E12" s="225" t="s">
        <v>436</v>
      </c>
      <c r="F12" s="223" t="s">
        <v>90</v>
      </c>
      <c r="G12" s="227">
        <v>12</v>
      </c>
      <c r="H12" s="229" t="str">
        <f>IF(G12&lt;=0,"",IF(G12&lt;=2,"Muy Baja",IF(G12&lt;=24,"Baja",IF(G12&lt;=500,"Media",IF(G12&lt;=5000,"Alta","Muy Alta")))))</f>
        <v>Baja</v>
      </c>
      <c r="I12" s="241">
        <f>IF(H12="","",IF(H12="Muy Baja",0.2,IF(H12="Baja",0.4,IF(H12="Media",0.6,IF(H12="Alta",0.8,IF(H12="Muy Alta",1,))))))</f>
        <v>0.4</v>
      </c>
      <c r="J12" s="243" t="s">
        <v>107</v>
      </c>
      <c r="K12" s="241" t="str">
        <f>IF(NOT(ISERROR(MATCH(J12,'[14]Tabla Impacto'!$B$221:$B$223,0))),'[14]Tabla Impacto'!$F$223&amp;"Por favor no seleccionar los criterios de impacto(Afectación Económica o presupuestal y Pérdida Reputacional)",J12)</f>
        <v xml:space="preserve">     El riesgo afecta la imagen de alguna área de la organización</v>
      </c>
      <c r="L12" s="229" t="str">
        <f>IF(OR(K12='[14]Tabla Impacto'!$C$11,K12='[14]Tabla Impacto'!$D$11),"Leve",IF(OR(K12='[14]Tabla Impacto'!$C$12,K12='[14]Tabla Impacto'!$D$12),"Menor",IF(OR(K12='[14]Tabla Impacto'!$C$13,K12='[14]Tabla Impacto'!$D$13),"Moderado",IF(OR(K12='[14]Tabla Impacto'!$C$14,K12='[14]Tabla Impacto'!$D$14),"Mayor",IF(OR(K12='[14]Tabla Impacto'!$C$15,K12='[14]Tabla Impacto'!$D$15),"Catastrófico","")))))</f>
        <v>Leve</v>
      </c>
      <c r="M12" s="241">
        <f>IF(L12="","",IF(L12="Leve",0.2,IF(L12="Menor",0.4,IF(L12="Moderado",0.6,IF(L12="Mayor",0.8,IF(L12="Catastrófico",1,))))))</f>
        <v>0.2</v>
      </c>
      <c r="N12" s="21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Bajo</v>
      </c>
      <c r="O12" s="6">
        <v>1</v>
      </c>
      <c r="P12" s="125" t="s">
        <v>249</v>
      </c>
      <c r="Q12" s="38" t="str">
        <f t="shared" si="0"/>
        <v>Probabilidad</v>
      </c>
      <c r="R12" s="39" t="s">
        <v>92</v>
      </c>
      <c r="S12" s="39" t="s">
        <v>93</v>
      </c>
      <c r="T12" s="40" t="str">
        <f t="shared" si="1"/>
        <v>40%</v>
      </c>
      <c r="U12" s="39" t="s">
        <v>94</v>
      </c>
      <c r="V12" s="39" t="s">
        <v>95</v>
      </c>
      <c r="W12" s="39" t="s">
        <v>96</v>
      </c>
      <c r="X12" s="24">
        <f>IFERROR(IF(Q12="Probabilidad",(I12-(+I12*T12)),IF(Q12="Impacto",I12,"")),"")</f>
        <v>0.24</v>
      </c>
      <c r="Y12" s="41" t="str">
        <f>IFERROR(IF(X12="","",IF(X12&lt;=0.2,"Muy Baja",IF(X12&lt;=0.4,"Baja",IF(X12&lt;=0.6,"Media",IF(X12&lt;=0.8,"Alta","Muy Alta"))))),"")</f>
        <v>Baja</v>
      </c>
      <c r="Z12" s="42">
        <f t="shared" si="2"/>
        <v>0.24</v>
      </c>
      <c r="AA12" s="41" t="str">
        <f>IFERROR(IF(AB12="","",IF(AB12&lt;=0.2,"Leve",IF(AB12&lt;=0.4,"Menor",IF(AB12&lt;=0.6,"Moderado",IF(AB12&lt;=0.8,"Mayor","Catastrófico"))))),"")</f>
        <v>Leve</v>
      </c>
      <c r="AB12" s="42">
        <f>IFERROR(IF(Q12="Impacto",(M12-(+M12*T12)),IF(Q12="Probabilidad",M12,"")),"")</f>
        <v>0.2</v>
      </c>
      <c r="AC12" s="43" t="str">
        <f t="shared" si="3"/>
        <v>Bajo</v>
      </c>
      <c r="AD12" s="44" t="s">
        <v>97</v>
      </c>
      <c r="AE12" s="125" t="s">
        <v>250</v>
      </c>
      <c r="AF12" s="45" t="s">
        <v>251</v>
      </c>
      <c r="AG12" s="138" t="s">
        <v>475</v>
      </c>
      <c r="AH12" s="137" t="s">
        <v>476</v>
      </c>
      <c r="AI12" s="45" t="s">
        <v>370</v>
      </c>
      <c r="AJ12" s="45" t="s">
        <v>371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2"/>
      <c r="B13" s="224"/>
      <c r="C13" s="224"/>
      <c r="D13" s="224"/>
      <c r="E13" s="226"/>
      <c r="F13" s="224"/>
      <c r="G13" s="228"/>
      <c r="H13" s="230"/>
      <c r="I13" s="242"/>
      <c r="J13" s="244"/>
      <c r="K13" s="242">
        <f ca="1">IF(NOT(ISERROR(MATCH(J13,_xlfn.ANCHORARRAY(#REF!),0))),#REF!&amp;"Por favor no seleccionar los criterios de impacto",J13)</f>
        <v>0</v>
      </c>
      <c r="L13" s="230"/>
      <c r="M13" s="242"/>
      <c r="N13" s="216"/>
      <c r="O13" s="6">
        <v>2</v>
      </c>
      <c r="P13" s="125" t="s">
        <v>252</v>
      </c>
      <c r="Q13" s="38" t="str">
        <f t="shared" si="0"/>
        <v>Probabilidad</v>
      </c>
      <c r="R13" s="39" t="s">
        <v>92</v>
      </c>
      <c r="S13" s="39" t="s">
        <v>93</v>
      </c>
      <c r="T13" s="40" t="str">
        <f t="shared" si="1"/>
        <v>40%</v>
      </c>
      <c r="U13" s="39" t="s">
        <v>94</v>
      </c>
      <c r="V13" s="39" t="s">
        <v>95</v>
      </c>
      <c r="W13" s="39" t="s">
        <v>96</v>
      </c>
      <c r="X13" s="24">
        <f>IFERROR(IF(AND(Q12="Probabilidad",Q13="Probabilidad"),(Z12-(+Z12*T13)),IF(Q13="Probabilidad",(I12-(+I12*T13)),IF(Q13="Impacto",Z12,""))),"")</f>
        <v>0.14399999999999999</v>
      </c>
      <c r="Y13" s="41" t="str">
        <f t="shared" si="4"/>
        <v>Muy Baja</v>
      </c>
      <c r="Z13" s="42">
        <f t="shared" si="2"/>
        <v>0.14399999999999999</v>
      </c>
      <c r="AA13" s="41" t="str">
        <f t="shared" si="5"/>
        <v>Menor</v>
      </c>
      <c r="AB13" s="42">
        <f>IFERROR(IF(AND(Q12="Impacto",Q13="Impacto"),(AB10-(+AB10*T13)),IF(Q13="Impacto",($M$12-(+$M$12*T13)),IF(Q13="Probabilidad",AB10,""))),"")</f>
        <v>0.4</v>
      </c>
      <c r="AC13" s="43" t="str">
        <f t="shared" si="3"/>
        <v>Bajo</v>
      </c>
      <c r="AD13" s="44" t="s">
        <v>97</v>
      </c>
      <c r="AE13" s="45" t="s">
        <v>328</v>
      </c>
      <c r="AF13" s="45" t="s">
        <v>251</v>
      </c>
      <c r="AG13" s="45" t="s">
        <v>467</v>
      </c>
      <c r="AH13" s="46" t="s">
        <v>372</v>
      </c>
      <c r="AI13" s="45" t="s">
        <v>373</v>
      </c>
      <c r="AJ13" s="37" t="s">
        <v>328</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2"/>
      <c r="B14" s="224"/>
      <c r="C14" s="224"/>
      <c r="D14" s="224"/>
      <c r="E14" s="226"/>
      <c r="F14" s="224"/>
      <c r="G14" s="228"/>
      <c r="H14" s="230"/>
      <c r="I14" s="242"/>
      <c r="J14" s="244"/>
      <c r="K14" s="242">
        <f ca="1">IF(NOT(ISERROR(MATCH(J14,_xlfn.ANCHORARRAY(#REF!),0))),#REF!&amp;"Por favor no seleccionar los criterios de impacto",J14)</f>
        <v>0</v>
      </c>
      <c r="L14" s="230"/>
      <c r="M14" s="242"/>
      <c r="N14" s="216"/>
      <c r="O14" s="6">
        <v>3</v>
      </c>
      <c r="P14" s="125" t="s">
        <v>253</v>
      </c>
      <c r="Q14" s="38" t="str">
        <f t="shared" si="0"/>
        <v>Probabilidad</v>
      </c>
      <c r="R14" s="39" t="s">
        <v>92</v>
      </c>
      <c r="S14" s="39" t="s">
        <v>93</v>
      </c>
      <c r="T14" s="40" t="str">
        <f t="shared" si="1"/>
        <v>40%</v>
      </c>
      <c r="U14" s="39" t="s">
        <v>108</v>
      </c>
      <c r="V14" s="39" t="s">
        <v>95</v>
      </c>
      <c r="W14" s="39" t="s">
        <v>96</v>
      </c>
      <c r="X14" s="24">
        <f>IFERROR(IF(AND(Q13="Probabilidad",Q14="Probabilidad"),(Z13-(+Z13*T14)),IF(AND(Q13="Impacto",Q14="Probabilidad"),(Z12-(+Z12*T14)),IF(Q14="Impacto",Z13,""))),"")</f>
        <v>8.6399999999999991E-2</v>
      </c>
      <c r="Y14" s="41" t="str">
        <f t="shared" si="4"/>
        <v>Muy Baja</v>
      </c>
      <c r="Z14" s="42">
        <f t="shared" si="2"/>
        <v>8.6399999999999991E-2</v>
      </c>
      <c r="AA14" s="41" t="str">
        <f t="shared" si="5"/>
        <v>Menor</v>
      </c>
      <c r="AB14" s="42">
        <f>IFERROR(IF(AND(Q13="Impacto",Q14="Impacto"),(AB13-(+AB13*T14)),IF(AND(Q13="Probabilidad",Q14="Impacto"),(AB12-(+AB12*T14)),IF(Q14="Probabilidad",AB13,""))),"")</f>
        <v>0.4</v>
      </c>
      <c r="AC14" s="43" t="str">
        <f t="shared" si="3"/>
        <v>Bajo</v>
      </c>
      <c r="AD14" s="44" t="s">
        <v>97</v>
      </c>
      <c r="AE14" s="45" t="s">
        <v>328</v>
      </c>
      <c r="AF14" s="45" t="s">
        <v>251</v>
      </c>
      <c r="AG14" s="137" t="s">
        <v>467</v>
      </c>
      <c r="AH14" s="46" t="s">
        <v>372</v>
      </c>
      <c r="AI14" s="45" t="s">
        <v>374</v>
      </c>
      <c r="AJ14" s="37" t="s">
        <v>328</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2"/>
      <c r="B15" s="224"/>
      <c r="C15" s="224"/>
      <c r="D15" s="224"/>
      <c r="E15" s="226"/>
      <c r="F15" s="224"/>
      <c r="G15" s="228"/>
      <c r="H15" s="230"/>
      <c r="I15" s="242"/>
      <c r="J15" s="244"/>
      <c r="K15" s="242">
        <f ca="1">IF(NOT(ISERROR(MATCH(J15,_xlfn.ANCHORARRAY(#REF!),0))),#REF!&amp;"Por favor no seleccionar los criterios de impacto",J15)</f>
        <v>0</v>
      </c>
      <c r="L15" s="230"/>
      <c r="M15" s="242"/>
      <c r="N15" s="216"/>
      <c r="O15" s="6">
        <v>4</v>
      </c>
      <c r="P15" s="125" t="s">
        <v>254</v>
      </c>
      <c r="Q15" s="38" t="str">
        <f t="shared" si="0"/>
        <v>Probabilidad</v>
      </c>
      <c r="R15" s="39" t="s">
        <v>92</v>
      </c>
      <c r="S15" s="39" t="s">
        <v>93</v>
      </c>
      <c r="T15" s="40" t="str">
        <f t="shared" si="1"/>
        <v>40%</v>
      </c>
      <c r="U15" s="39" t="s">
        <v>94</v>
      </c>
      <c r="V15" s="39" t="s">
        <v>95</v>
      </c>
      <c r="W15" s="39" t="s">
        <v>96</v>
      </c>
      <c r="X15" s="24">
        <f>IFERROR(IF(AND(Q14="Probabilidad",Q15="Probabilidad"),(Z14-(+Z14*T15)),IF(AND(Q14="Impacto",Q15="Probabilidad"),(Z13-(+Z13*T15)),IF(Q15="Impacto",Z14,""))),"")</f>
        <v>5.183999999999999E-2</v>
      </c>
      <c r="Y15" s="41" t="str">
        <f t="shared" si="4"/>
        <v>Muy Baja</v>
      </c>
      <c r="Z15" s="42">
        <f t="shared" si="2"/>
        <v>5.183999999999999E-2</v>
      </c>
      <c r="AA15" s="41" t="str">
        <f t="shared" si="5"/>
        <v>Menor</v>
      </c>
      <c r="AB15" s="42">
        <f>IFERROR(IF(AND(Q14="Impacto",Q15="Impacto"),(AB14-(+AB14*T15)),IF(AND(Q14="Probabilidad",Q15="Impacto"),(AB13-(+AB13*T15)),IF(Q15="Probabilidad",AB14,""))),"")</f>
        <v>0.4</v>
      </c>
      <c r="AC15" s="43" t="str">
        <f t="shared" si="3"/>
        <v>Bajo</v>
      </c>
      <c r="AD15" s="44" t="s">
        <v>97</v>
      </c>
      <c r="AE15" s="45" t="s">
        <v>328</v>
      </c>
      <c r="AF15" s="45" t="s">
        <v>251</v>
      </c>
      <c r="AG15" s="137" t="s">
        <v>467</v>
      </c>
      <c r="AH15" s="46" t="s">
        <v>372</v>
      </c>
      <c r="AI15" s="45" t="s">
        <v>375</v>
      </c>
      <c r="AJ15" s="37" t="s">
        <v>328</v>
      </c>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49.5" customHeight="1" x14ac:dyDescent="0.3">
      <c r="A16" s="6"/>
      <c r="B16" s="245" t="s">
        <v>111</v>
      </c>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7"/>
    </row>
    <row r="18" spans="1:6" x14ac:dyDescent="0.3">
      <c r="A18" s="1"/>
      <c r="B18" s="25" t="s">
        <v>112</v>
      </c>
      <c r="C18" s="1"/>
      <c r="D18" s="1"/>
      <c r="F18" s="1"/>
    </row>
  </sheetData>
  <dataConsolidate/>
  <mergeCells count="73">
    <mergeCell ref="B16:AJ16"/>
    <mergeCell ref="I12:I15"/>
    <mergeCell ref="J12:J15"/>
    <mergeCell ref="K12:K15"/>
    <mergeCell ref="L12:L15"/>
    <mergeCell ref="M12:M15"/>
    <mergeCell ref="M10:M11"/>
    <mergeCell ref="N10:N11"/>
    <mergeCell ref="A12:A15"/>
    <mergeCell ref="B12:B15"/>
    <mergeCell ref="C12:C15"/>
    <mergeCell ref="D12:D15"/>
    <mergeCell ref="E12:E15"/>
    <mergeCell ref="F12:F15"/>
    <mergeCell ref="G12:G15"/>
    <mergeCell ref="H12:H15"/>
    <mergeCell ref="G10:G11"/>
    <mergeCell ref="H10:H11"/>
    <mergeCell ref="I10:I11"/>
    <mergeCell ref="J10:J11"/>
    <mergeCell ref="K10:K11"/>
    <mergeCell ref="L10:L11"/>
    <mergeCell ref="A10:A11"/>
    <mergeCell ref="B10:B11"/>
    <mergeCell ref="C10:C11"/>
    <mergeCell ref="D10:D11"/>
    <mergeCell ref="E10:E11"/>
    <mergeCell ref="F10:F11"/>
    <mergeCell ref="AB8:AB9"/>
    <mergeCell ref="AC8:AC9"/>
    <mergeCell ref="P8:P9"/>
    <mergeCell ref="Q8:Q9"/>
    <mergeCell ref="R8:W8"/>
    <mergeCell ref="X8:X9"/>
    <mergeCell ref="Y8:Y9"/>
    <mergeCell ref="Z8:Z9"/>
    <mergeCell ref="N12:N15"/>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2">
    <cfRule type="cellIs" dxfId="69" priority="227" operator="equal">
      <formula>"Muy Alta"</formula>
    </cfRule>
    <cfRule type="cellIs" dxfId="68" priority="228" operator="equal">
      <formula>"Alta"</formula>
    </cfRule>
    <cfRule type="cellIs" dxfId="67" priority="229" operator="equal">
      <formula>"Media"</formula>
    </cfRule>
    <cfRule type="cellIs" dxfId="66" priority="230" operator="equal">
      <formula>"Baja"</formula>
    </cfRule>
    <cfRule type="cellIs" dxfId="65" priority="231" operator="equal">
      <formula>"Muy Baja"</formula>
    </cfRule>
  </conditionalFormatting>
  <conditionalFormatting sqref="L10 L12">
    <cfRule type="cellIs" dxfId="64" priority="222" operator="equal">
      <formula>"Catastrófico"</formula>
    </cfRule>
    <cfRule type="cellIs" dxfId="63" priority="223" operator="equal">
      <formula>"Mayor"</formula>
    </cfRule>
    <cfRule type="cellIs" dxfId="62" priority="224" operator="equal">
      <formula>"Moderado"</formula>
    </cfRule>
    <cfRule type="cellIs" dxfId="61" priority="225" operator="equal">
      <formula>"Menor"</formula>
    </cfRule>
    <cfRule type="cellIs" dxfId="60" priority="226" operator="equal">
      <formula>"Leve"</formula>
    </cfRule>
  </conditionalFormatting>
  <conditionalFormatting sqref="N10">
    <cfRule type="cellIs" dxfId="59" priority="218" operator="equal">
      <formula>"Extremo"</formula>
    </cfRule>
    <cfRule type="cellIs" dxfId="58" priority="219" operator="equal">
      <formula>"Alto"</formula>
    </cfRule>
    <cfRule type="cellIs" dxfId="57" priority="220" operator="equal">
      <formula>"Moderado"</formula>
    </cfRule>
    <cfRule type="cellIs" dxfId="56" priority="221" operator="equal">
      <formula>"Bajo"</formula>
    </cfRule>
  </conditionalFormatting>
  <conditionalFormatting sqref="Y10:Y11">
    <cfRule type="cellIs" dxfId="55" priority="213" operator="equal">
      <formula>"Muy Alta"</formula>
    </cfRule>
    <cfRule type="cellIs" dxfId="54" priority="214" operator="equal">
      <formula>"Alta"</formula>
    </cfRule>
    <cfRule type="cellIs" dxfId="53" priority="215" operator="equal">
      <formula>"Media"</formula>
    </cfRule>
    <cfRule type="cellIs" dxfId="52" priority="216" operator="equal">
      <formula>"Baja"</formula>
    </cfRule>
    <cfRule type="cellIs" dxfId="51" priority="217" operator="equal">
      <formula>"Muy Baja"</formula>
    </cfRule>
  </conditionalFormatting>
  <conditionalFormatting sqref="AA10:AA11">
    <cfRule type="cellIs" dxfId="50" priority="208" operator="equal">
      <formula>"Catastrófico"</formula>
    </cfRule>
    <cfRule type="cellIs" dxfId="49" priority="209" operator="equal">
      <formula>"Mayor"</formula>
    </cfRule>
    <cfRule type="cellIs" dxfId="48" priority="210" operator="equal">
      <formula>"Moderado"</formula>
    </cfRule>
    <cfRule type="cellIs" dxfId="47" priority="211" operator="equal">
      <formula>"Menor"</formula>
    </cfRule>
    <cfRule type="cellIs" dxfId="46" priority="212" operator="equal">
      <formula>"Leve"</formula>
    </cfRule>
  </conditionalFormatting>
  <conditionalFormatting sqref="AC10:AC11">
    <cfRule type="cellIs" dxfId="45" priority="204" operator="equal">
      <formula>"Extremo"</formula>
    </cfRule>
    <cfRule type="cellIs" dxfId="44" priority="205" operator="equal">
      <formula>"Alto"</formula>
    </cfRule>
    <cfRule type="cellIs" dxfId="43" priority="206" operator="equal">
      <formula>"Moderado"</formula>
    </cfRule>
    <cfRule type="cellIs" dxfId="42" priority="207" operator="equal">
      <formula>"Bajo"</formula>
    </cfRule>
  </conditionalFormatting>
  <conditionalFormatting sqref="N12">
    <cfRule type="cellIs" dxfId="41" priority="200" operator="equal">
      <formula>"Extremo"</formula>
    </cfRule>
    <cfRule type="cellIs" dxfId="40" priority="201" operator="equal">
      <formula>"Alto"</formula>
    </cfRule>
    <cfRule type="cellIs" dxfId="39" priority="202" operator="equal">
      <formula>"Moderado"</formula>
    </cfRule>
    <cfRule type="cellIs" dxfId="38" priority="203" operator="equal">
      <formula>"Bajo"</formula>
    </cfRule>
  </conditionalFormatting>
  <conditionalFormatting sqref="Y12:Y15">
    <cfRule type="cellIs" dxfId="37" priority="195" operator="equal">
      <formula>"Muy Alta"</formula>
    </cfRule>
    <cfRule type="cellIs" dxfId="36" priority="196" operator="equal">
      <formula>"Alta"</formula>
    </cfRule>
    <cfRule type="cellIs" dxfId="35" priority="197" operator="equal">
      <formula>"Media"</formula>
    </cfRule>
    <cfRule type="cellIs" dxfId="34" priority="198" operator="equal">
      <formula>"Baja"</formula>
    </cfRule>
    <cfRule type="cellIs" dxfId="33" priority="199" operator="equal">
      <formula>"Muy Baja"</formula>
    </cfRule>
  </conditionalFormatting>
  <conditionalFormatting sqref="AA12:AA15">
    <cfRule type="cellIs" dxfId="32" priority="190" operator="equal">
      <formula>"Catastrófico"</formula>
    </cfRule>
    <cfRule type="cellIs" dxfId="31" priority="191" operator="equal">
      <formula>"Mayor"</formula>
    </cfRule>
    <cfRule type="cellIs" dxfId="30" priority="192" operator="equal">
      <formula>"Moderado"</formula>
    </cfRule>
    <cfRule type="cellIs" dxfId="29" priority="193" operator="equal">
      <formula>"Menor"</formula>
    </cfRule>
    <cfRule type="cellIs" dxfId="28" priority="194" operator="equal">
      <formula>"Leve"</formula>
    </cfRule>
  </conditionalFormatting>
  <conditionalFormatting sqref="AC12:AC15">
    <cfRule type="cellIs" dxfId="27" priority="186" operator="equal">
      <formula>"Extremo"</formula>
    </cfRule>
    <cfRule type="cellIs" dxfId="26" priority="187" operator="equal">
      <formula>"Alto"</formula>
    </cfRule>
    <cfRule type="cellIs" dxfId="25" priority="188" operator="equal">
      <formula>"Moderado"</formula>
    </cfRule>
    <cfRule type="cellIs" dxfId="24" priority="189" operator="equal">
      <formula>"Bajo"</formula>
    </cfRule>
  </conditionalFormatting>
  <conditionalFormatting sqref="K10:K15">
    <cfRule type="containsText" dxfId="0" priority="1" operator="containsText" text="❌">
      <formula>NOT(ISERROR(SEARCH("❌",K10)))</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B1:H45"/>
  <sheetViews>
    <sheetView topLeftCell="B10" zoomScale="130" zoomScaleNormal="130" workbookViewId="0">
      <selection activeCell="E19" sqref="E19:F19"/>
    </sheetView>
  </sheetViews>
  <sheetFormatPr baseColWidth="10" defaultColWidth="11.42578125" defaultRowHeight="15" x14ac:dyDescent="0.25"/>
  <cols>
    <col min="1" max="1" width="2.85546875" style="84" customWidth="1"/>
    <col min="2" max="3" width="24.85546875" style="84" customWidth="1"/>
    <col min="4" max="4" width="16" style="84" customWidth="1"/>
    <col min="5" max="5" width="24.85546875" style="84" customWidth="1"/>
    <col min="6" max="6" width="27.85546875" style="84" customWidth="1"/>
    <col min="7" max="8" width="24.85546875" style="84" customWidth="1"/>
    <col min="9" max="16384" width="11.42578125" style="84"/>
  </cols>
  <sheetData>
    <row r="1" spans="2:8" ht="15.75" thickBot="1" x14ac:dyDescent="0.3"/>
    <row r="2" spans="2:8" ht="18" x14ac:dyDescent="0.25">
      <c r="B2" s="274" t="s">
        <v>0</v>
      </c>
      <c r="C2" s="275"/>
      <c r="D2" s="275"/>
      <c r="E2" s="275"/>
      <c r="F2" s="275"/>
      <c r="G2" s="275"/>
      <c r="H2" s="276"/>
    </row>
    <row r="3" spans="2:8" x14ac:dyDescent="0.25">
      <c r="B3" s="85"/>
      <c r="C3" s="86"/>
      <c r="D3" s="86"/>
      <c r="E3" s="86"/>
      <c r="F3" s="86"/>
      <c r="G3" s="86"/>
      <c r="H3" s="87"/>
    </row>
    <row r="4" spans="2:8" ht="63" customHeight="1" x14ac:dyDescent="0.25">
      <c r="B4" s="277" t="s">
        <v>1</v>
      </c>
      <c r="C4" s="278"/>
      <c r="D4" s="278"/>
      <c r="E4" s="278"/>
      <c r="F4" s="278"/>
      <c r="G4" s="278"/>
      <c r="H4" s="279"/>
    </row>
    <row r="5" spans="2:8" ht="63" customHeight="1" x14ac:dyDescent="0.25">
      <c r="B5" s="280"/>
      <c r="C5" s="281"/>
      <c r="D5" s="281"/>
      <c r="E5" s="281"/>
      <c r="F5" s="281"/>
      <c r="G5" s="281"/>
      <c r="H5" s="282"/>
    </row>
    <row r="6" spans="2:8" ht="16.5" x14ac:dyDescent="0.25">
      <c r="B6" s="283" t="s">
        <v>2</v>
      </c>
      <c r="C6" s="284"/>
      <c r="D6" s="284"/>
      <c r="E6" s="284"/>
      <c r="F6" s="284"/>
      <c r="G6" s="284"/>
      <c r="H6" s="285"/>
    </row>
    <row r="7" spans="2:8" ht="95.25" customHeight="1" x14ac:dyDescent="0.25">
      <c r="B7" s="293" t="s">
        <v>3</v>
      </c>
      <c r="C7" s="294"/>
      <c r="D7" s="294"/>
      <c r="E7" s="294"/>
      <c r="F7" s="294"/>
      <c r="G7" s="294"/>
      <c r="H7" s="295"/>
    </row>
    <row r="8" spans="2:8" ht="16.5" x14ac:dyDescent="0.25">
      <c r="B8" s="120"/>
      <c r="C8" s="121"/>
      <c r="D8" s="121"/>
      <c r="E8" s="121"/>
      <c r="F8" s="121"/>
      <c r="G8" s="121"/>
      <c r="H8" s="122"/>
    </row>
    <row r="9" spans="2:8" ht="16.5" customHeight="1" x14ac:dyDescent="0.25">
      <c r="B9" s="286" t="s">
        <v>4</v>
      </c>
      <c r="C9" s="287"/>
      <c r="D9" s="287"/>
      <c r="E9" s="287"/>
      <c r="F9" s="287"/>
      <c r="G9" s="287"/>
      <c r="H9" s="288"/>
    </row>
    <row r="10" spans="2:8" ht="44.25" customHeight="1" x14ac:dyDescent="0.25">
      <c r="B10" s="286"/>
      <c r="C10" s="287"/>
      <c r="D10" s="287"/>
      <c r="E10" s="287"/>
      <c r="F10" s="287"/>
      <c r="G10" s="287"/>
      <c r="H10" s="288"/>
    </row>
    <row r="11" spans="2:8" ht="15.75" thickBot="1" x14ac:dyDescent="0.3">
      <c r="B11" s="109"/>
      <c r="C11" s="112"/>
      <c r="D11" s="117"/>
      <c r="E11" s="118"/>
      <c r="F11" s="118"/>
      <c r="G11" s="119"/>
      <c r="H11" s="113"/>
    </row>
    <row r="12" spans="2:8" ht="15.75" thickTop="1" x14ac:dyDescent="0.25">
      <c r="B12" s="109"/>
      <c r="C12" s="289" t="s">
        <v>5</v>
      </c>
      <c r="D12" s="290"/>
      <c r="E12" s="291" t="s">
        <v>6</v>
      </c>
      <c r="F12" s="292"/>
      <c r="G12" s="112"/>
      <c r="H12" s="113"/>
    </row>
    <row r="13" spans="2:8" ht="35.25" customHeight="1" x14ac:dyDescent="0.25">
      <c r="B13" s="109"/>
      <c r="C13" s="296" t="s">
        <v>7</v>
      </c>
      <c r="D13" s="297"/>
      <c r="E13" s="298" t="s">
        <v>8</v>
      </c>
      <c r="F13" s="299"/>
      <c r="G13" s="112"/>
      <c r="H13" s="113"/>
    </row>
    <row r="14" spans="2:8" ht="17.25" customHeight="1" x14ac:dyDescent="0.25">
      <c r="B14" s="109"/>
      <c r="C14" s="296" t="s">
        <v>9</v>
      </c>
      <c r="D14" s="297"/>
      <c r="E14" s="298" t="s">
        <v>10</v>
      </c>
      <c r="F14" s="299"/>
      <c r="G14" s="112"/>
      <c r="H14" s="113"/>
    </row>
    <row r="15" spans="2:8" ht="19.5" customHeight="1" x14ac:dyDescent="0.25">
      <c r="B15" s="109"/>
      <c r="C15" s="296" t="s">
        <v>11</v>
      </c>
      <c r="D15" s="297"/>
      <c r="E15" s="298" t="s">
        <v>12</v>
      </c>
      <c r="F15" s="299"/>
      <c r="G15" s="112"/>
      <c r="H15" s="113"/>
    </row>
    <row r="16" spans="2:8" ht="69.75" customHeight="1" x14ac:dyDescent="0.25">
      <c r="B16" s="109"/>
      <c r="C16" s="296" t="s">
        <v>13</v>
      </c>
      <c r="D16" s="297"/>
      <c r="E16" s="298" t="s">
        <v>14</v>
      </c>
      <c r="F16" s="299"/>
      <c r="G16" s="112"/>
      <c r="H16" s="113"/>
    </row>
    <row r="17" spans="2:8" ht="34.5" customHeight="1" x14ac:dyDescent="0.25">
      <c r="B17" s="109"/>
      <c r="C17" s="300" t="s">
        <v>15</v>
      </c>
      <c r="D17" s="301"/>
      <c r="E17" s="302" t="s">
        <v>16</v>
      </c>
      <c r="F17" s="303"/>
      <c r="G17" s="112"/>
      <c r="H17" s="113"/>
    </row>
    <row r="18" spans="2:8" ht="27.75" customHeight="1" x14ac:dyDescent="0.25">
      <c r="B18" s="109"/>
      <c r="C18" s="300" t="s">
        <v>17</v>
      </c>
      <c r="D18" s="301"/>
      <c r="E18" s="302" t="s">
        <v>18</v>
      </c>
      <c r="F18" s="303"/>
      <c r="G18" s="112"/>
      <c r="H18" s="113"/>
    </row>
    <row r="19" spans="2:8" ht="28.5" customHeight="1" x14ac:dyDescent="0.25">
      <c r="B19" s="109"/>
      <c r="C19" s="300" t="s">
        <v>19</v>
      </c>
      <c r="D19" s="301"/>
      <c r="E19" s="302" t="s">
        <v>20</v>
      </c>
      <c r="F19" s="303"/>
      <c r="G19" s="112"/>
      <c r="H19" s="113"/>
    </row>
    <row r="20" spans="2:8" ht="72.75" customHeight="1" x14ac:dyDescent="0.25">
      <c r="B20" s="109"/>
      <c r="C20" s="300" t="s">
        <v>21</v>
      </c>
      <c r="D20" s="301"/>
      <c r="E20" s="302" t="s">
        <v>22</v>
      </c>
      <c r="F20" s="303"/>
      <c r="G20" s="112"/>
      <c r="H20" s="113"/>
    </row>
    <row r="21" spans="2:8" ht="64.5" customHeight="1" x14ac:dyDescent="0.25">
      <c r="B21" s="109"/>
      <c r="C21" s="300" t="s">
        <v>23</v>
      </c>
      <c r="D21" s="301"/>
      <c r="E21" s="302" t="s">
        <v>24</v>
      </c>
      <c r="F21" s="303"/>
      <c r="G21" s="112"/>
      <c r="H21" s="113"/>
    </row>
    <row r="22" spans="2:8" ht="71.25" customHeight="1" x14ac:dyDescent="0.25">
      <c r="B22" s="109"/>
      <c r="C22" s="300" t="s">
        <v>25</v>
      </c>
      <c r="D22" s="301"/>
      <c r="E22" s="302" t="s">
        <v>26</v>
      </c>
      <c r="F22" s="303"/>
      <c r="G22" s="112"/>
      <c r="H22" s="113"/>
    </row>
    <row r="23" spans="2:8" ht="55.5" customHeight="1" x14ac:dyDescent="0.25">
      <c r="B23" s="109"/>
      <c r="C23" s="307" t="s">
        <v>27</v>
      </c>
      <c r="D23" s="308"/>
      <c r="E23" s="302" t="s">
        <v>28</v>
      </c>
      <c r="F23" s="303"/>
      <c r="G23" s="112"/>
      <c r="H23" s="113"/>
    </row>
    <row r="24" spans="2:8" ht="42" customHeight="1" x14ac:dyDescent="0.25">
      <c r="B24" s="109"/>
      <c r="C24" s="307" t="s">
        <v>29</v>
      </c>
      <c r="D24" s="308"/>
      <c r="E24" s="302" t="s">
        <v>30</v>
      </c>
      <c r="F24" s="303"/>
      <c r="G24" s="112"/>
      <c r="H24" s="113"/>
    </row>
    <row r="25" spans="2:8" ht="59.25" customHeight="1" x14ac:dyDescent="0.25">
      <c r="B25" s="109"/>
      <c r="C25" s="307" t="s">
        <v>31</v>
      </c>
      <c r="D25" s="308"/>
      <c r="E25" s="302" t="s">
        <v>32</v>
      </c>
      <c r="F25" s="303"/>
      <c r="G25" s="112"/>
      <c r="H25" s="113"/>
    </row>
    <row r="26" spans="2:8" ht="23.25" customHeight="1" x14ac:dyDescent="0.25">
      <c r="B26" s="109"/>
      <c r="C26" s="307" t="s">
        <v>33</v>
      </c>
      <c r="D26" s="308"/>
      <c r="E26" s="302" t="s">
        <v>34</v>
      </c>
      <c r="F26" s="303"/>
      <c r="G26" s="112"/>
      <c r="H26" s="113"/>
    </row>
    <row r="27" spans="2:8" ht="30.75" customHeight="1" x14ac:dyDescent="0.25">
      <c r="B27" s="109"/>
      <c r="C27" s="307" t="s">
        <v>35</v>
      </c>
      <c r="D27" s="308"/>
      <c r="E27" s="302" t="s">
        <v>36</v>
      </c>
      <c r="F27" s="303"/>
      <c r="G27" s="112"/>
      <c r="H27" s="113"/>
    </row>
    <row r="28" spans="2:8" ht="35.25" customHeight="1" x14ac:dyDescent="0.25">
      <c r="B28" s="109"/>
      <c r="C28" s="307" t="s">
        <v>37</v>
      </c>
      <c r="D28" s="308"/>
      <c r="E28" s="302" t="s">
        <v>38</v>
      </c>
      <c r="F28" s="303"/>
      <c r="G28" s="112"/>
      <c r="H28" s="113"/>
    </row>
    <row r="29" spans="2:8" ht="33" customHeight="1" x14ac:dyDescent="0.25">
      <c r="B29" s="109"/>
      <c r="C29" s="307" t="s">
        <v>37</v>
      </c>
      <c r="D29" s="308"/>
      <c r="E29" s="302" t="s">
        <v>38</v>
      </c>
      <c r="F29" s="303"/>
      <c r="G29" s="112"/>
      <c r="H29" s="113"/>
    </row>
    <row r="30" spans="2:8" ht="30" customHeight="1" x14ac:dyDescent="0.25">
      <c r="B30" s="109"/>
      <c r="C30" s="307" t="s">
        <v>39</v>
      </c>
      <c r="D30" s="308"/>
      <c r="E30" s="302" t="s">
        <v>40</v>
      </c>
      <c r="F30" s="303"/>
      <c r="G30" s="112"/>
      <c r="H30" s="113"/>
    </row>
    <row r="31" spans="2:8" ht="35.25" customHeight="1" x14ac:dyDescent="0.25">
      <c r="B31" s="109"/>
      <c r="C31" s="307" t="s">
        <v>41</v>
      </c>
      <c r="D31" s="308"/>
      <c r="E31" s="302" t="s">
        <v>42</v>
      </c>
      <c r="F31" s="303"/>
      <c r="G31" s="112"/>
      <c r="H31" s="113"/>
    </row>
    <row r="32" spans="2:8" ht="31.5" customHeight="1" x14ac:dyDescent="0.25">
      <c r="B32" s="109"/>
      <c r="C32" s="307" t="s">
        <v>43</v>
      </c>
      <c r="D32" s="308"/>
      <c r="E32" s="302" t="s">
        <v>44</v>
      </c>
      <c r="F32" s="303"/>
      <c r="G32" s="112"/>
      <c r="H32" s="113"/>
    </row>
    <row r="33" spans="2:8" ht="35.25" customHeight="1" x14ac:dyDescent="0.25">
      <c r="B33" s="109"/>
      <c r="C33" s="307" t="s">
        <v>45</v>
      </c>
      <c r="D33" s="308"/>
      <c r="E33" s="302" t="s">
        <v>46</v>
      </c>
      <c r="F33" s="303"/>
      <c r="G33" s="112"/>
      <c r="H33" s="113"/>
    </row>
    <row r="34" spans="2:8" ht="59.25" customHeight="1" x14ac:dyDescent="0.25">
      <c r="B34" s="109"/>
      <c r="C34" s="307" t="s">
        <v>47</v>
      </c>
      <c r="D34" s="308"/>
      <c r="E34" s="302" t="s">
        <v>48</v>
      </c>
      <c r="F34" s="303"/>
      <c r="G34" s="112"/>
      <c r="H34" s="113"/>
    </row>
    <row r="35" spans="2:8" ht="29.25" customHeight="1" x14ac:dyDescent="0.25">
      <c r="B35" s="109"/>
      <c r="C35" s="307" t="s">
        <v>49</v>
      </c>
      <c r="D35" s="308"/>
      <c r="E35" s="302" t="s">
        <v>50</v>
      </c>
      <c r="F35" s="303"/>
      <c r="G35" s="112"/>
      <c r="H35" s="113"/>
    </row>
    <row r="36" spans="2:8" ht="82.5" customHeight="1" x14ac:dyDescent="0.25">
      <c r="B36" s="109"/>
      <c r="C36" s="307" t="s">
        <v>51</v>
      </c>
      <c r="D36" s="308"/>
      <c r="E36" s="302" t="s">
        <v>52</v>
      </c>
      <c r="F36" s="303"/>
      <c r="G36" s="112"/>
      <c r="H36" s="113"/>
    </row>
    <row r="37" spans="2:8" ht="46.5" customHeight="1" x14ac:dyDescent="0.25">
      <c r="B37" s="109"/>
      <c r="C37" s="307" t="s">
        <v>53</v>
      </c>
      <c r="D37" s="308"/>
      <c r="E37" s="302" t="s">
        <v>54</v>
      </c>
      <c r="F37" s="303"/>
      <c r="G37" s="112"/>
      <c r="H37" s="113"/>
    </row>
    <row r="38" spans="2:8" ht="6.75" customHeight="1" thickBot="1" x14ac:dyDescent="0.3">
      <c r="B38" s="109"/>
      <c r="C38" s="309"/>
      <c r="D38" s="310"/>
      <c r="E38" s="311"/>
      <c r="F38" s="312"/>
      <c r="G38" s="112"/>
      <c r="H38" s="113"/>
    </row>
    <row r="39" spans="2:8" ht="15.75" thickTop="1" x14ac:dyDescent="0.25">
      <c r="B39" s="109"/>
      <c r="C39" s="110"/>
      <c r="D39" s="110"/>
      <c r="E39" s="111"/>
      <c r="F39" s="111"/>
      <c r="G39" s="112"/>
      <c r="H39" s="113"/>
    </row>
    <row r="40" spans="2:8" ht="21" customHeight="1" x14ac:dyDescent="0.25">
      <c r="B40" s="304" t="s">
        <v>55</v>
      </c>
      <c r="C40" s="305"/>
      <c r="D40" s="305"/>
      <c r="E40" s="305"/>
      <c r="F40" s="305"/>
      <c r="G40" s="305"/>
      <c r="H40" s="306"/>
    </row>
    <row r="41" spans="2:8" ht="20.25" customHeight="1" x14ac:dyDescent="0.25">
      <c r="B41" s="304" t="s">
        <v>56</v>
      </c>
      <c r="C41" s="305"/>
      <c r="D41" s="305"/>
      <c r="E41" s="305"/>
      <c r="F41" s="305"/>
      <c r="G41" s="305"/>
      <c r="H41" s="306"/>
    </row>
    <row r="42" spans="2:8" ht="20.25" customHeight="1" x14ac:dyDescent="0.25">
      <c r="B42" s="304" t="s">
        <v>57</v>
      </c>
      <c r="C42" s="305"/>
      <c r="D42" s="305"/>
      <c r="E42" s="305"/>
      <c r="F42" s="305"/>
      <c r="G42" s="305"/>
      <c r="H42" s="306"/>
    </row>
    <row r="43" spans="2:8" ht="20.25" customHeight="1" x14ac:dyDescent="0.25">
      <c r="B43" s="304" t="s">
        <v>58</v>
      </c>
      <c r="C43" s="305"/>
      <c r="D43" s="305"/>
      <c r="E43" s="305"/>
      <c r="F43" s="305"/>
      <c r="G43" s="305"/>
      <c r="H43" s="306"/>
    </row>
    <row r="44" spans="2:8" x14ac:dyDescent="0.25">
      <c r="B44" s="304" t="s">
        <v>59</v>
      </c>
      <c r="C44" s="305"/>
      <c r="D44" s="305"/>
      <c r="E44" s="305"/>
      <c r="F44" s="305"/>
      <c r="G44" s="305"/>
      <c r="H44" s="306"/>
    </row>
    <row r="45" spans="2:8" ht="15.75" thickBot="1" x14ac:dyDescent="0.3">
      <c r="B45" s="114"/>
      <c r="C45" s="115"/>
      <c r="D45" s="115"/>
      <c r="E45" s="115"/>
      <c r="F45" s="115"/>
      <c r="G45" s="115"/>
      <c r="H45" s="116"/>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CU140"/>
  <sheetViews>
    <sheetView zoomScale="50" zoomScaleNormal="50" workbookViewId="0">
      <selection activeCell="AX40" sqref="AX40"/>
    </sheetView>
  </sheetViews>
  <sheetFormatPr baseColWidth="10" defaultColWidth="11.42578125" defaultRowHeight="15" x14ac:dyDescent="0.25"/>
  <cols>
    <col min="2" max="39" width="5.85546875" customWidth="1"/>
    <col min="41" max="46" width="5.855468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13" t="s">
        <v>113</v>
      </c>
      <c r="C2" s="313"/>
      <c r="D2" s="313"/>
      <c r="E2" s="313"/>
      <c r="F2" s="313"/>
      <c r="G2" s="313"/>
      <c r="H2" s="313"/>
      <c r="I2" s="313"/>
      <c r="J2" s="350" t="s">
        <v>15</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13"/>
      <c r="C3" s="313"/>
      <c r="D3" s="313"/>
      <c r="E3" s="313"/>
      <c r="F3" s="313"/>
      <c r="G3" s="313"/>
      <c r="H3" s="313"/>
      <c r="I3" s="313"/>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13"/>
      <c r="C4" s="313"/>
      <c r="D4" s="313"/>
      <c r="E4" s="313"/>
      <c r="F4" s="313"/>
      <c r="G4" s="313"/>
      <c r="H4" s="313"/>
      <c r="I4" s="313"/>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361" t="s">
        <v>114</v>
      </c>
      <c r="C6" s="361"/>
      <c r="D6" s="362"/>
      <c r="E6" s="351" t="s">
        <v>115</v>
      </c>
      <c r="F6" s="352"/>
      <c r="G6" s="352"/>
      <c r="H6" s="352"/>
      <c r="I6" s="353"/>
      <c r="J6" s="347" t="str">
        <f ca="1">IF(AND('Administrativo '!$H$10="Muy Alta",'Administrativo '!$L$10="Leve"),CONCATENATE("R",'Administrativo '!$A$10),"")</f>
        <v/>
      </c>
      <c r="K6" s="348"/>
      <c r="L6" s="348" t="e">
        <f>IF(AND('Administrativo '!#REF!="Muy Alta",'Administrativo '!#REF!="Leve"),CONCATENATE("R",'Administrativo '!#REF!),"")</f>
        <v>#REF!</v>
      </c>
      <c r="M6" s="348"/>
      <c r="N6" s="348" t="e">
        <f>IF(AND('Administrativo '!#REF!="Muy Alta",'Administrativo '!#REF!="Leve"),CONCATENATE("R",'Administrativo '!#REF!),"")</f>
        <v>#REF!</v>
      </c>
      <c r="O6" s="349"/>
      <c r="P6" s="347" t="str">
        <f ca="1">IF(AND('Administrativo '!$H$10="Muy Alta",'Administrativo '!$L$10="Menor"),CONCATENATE("R",'Administrativo '!$A$10),"")</f>
        <v/>
      </c>
      <c r="Q6" s="348"/>
      <c r="R6" s="348" t="e">
        <f>IF(AND('Administrativo '!#REF!="Muy Alta",'Administrativo '!#REF!="Menor"),CONCATENATE("R",'Administrativo '!#REF!),"")</f>
        <v>#REF!</v>
      </c>
      <c r="S6" s="348"/>
      <c r="T6" s="348" t="e">
        <f>IF(AND('Administrativo '!#REF!="Muy Alta",'Administrativo '!#REF!="Menor"),CONCATENATE("R",'Administrativo '!#REF!),"")</f>
        <v>#REF!</v>
      </c>
      <c r="U6" s="349"/>
      <c r="V6" s="347" t="str">
        <f ca="1">IF(AND('Administrativo '!$H$10="Muy Alta",'Administrativo '!$L$10="Moderado"),CONCATENATE("R",'Administrativo '!$A$10),"")</f>
        <v/>
      </c>
      <c r="W6" s="348"/>
      <c r="X6" s="348" t="e">
        <f>IF(AND('Administrativo '!#REF!="Muy Alta",'Administrativo '!#REF!="Moderado"),CONCATENATE("R",'Administrativo '!#REF!),"")</f>
        <v>#REF!</v>
      </c>
      <c r="Y6" s="348"/>
      <c r="Z6" s="348" t="e">
        <f>IF(AND('Administrativo '!#REF!="Muy Alta",'Administrativo '!#REF!="Moderado"),CONCATENATE("R",'Administrativo '!#REF!),"")</f>
        <v>#REF!</v>
      </c>
      <c r="AA6" s="349"/>
      <c r="AB6" s="347" t="str">
        <f ca="1">IF(AND('Administrativo '!$H$10="Muy Alta",'Administrativo '!$L$10="Mayor"),CONCATENATE("R",'Administrativo '!$A$10),"")</f>
        <v/>
      </c>
      <c r="AC6" s="348"/>
      <c r="AD6" s="348" t="e">
        <f>IF(AND('Administrativo '!#REF!="Muy Alta",'Administrativo '!#REF!="Mayor"),CONCATENATE("R",'Administrativo '!#REF!),"")</f>
        <v>#REF!</v>
      </c>
      <c r="AE6" s="348"/>
      <c r="AF6" s="348" t="e">
        <f>IF(AND('Administrativo '!#REF!="Muy Alta",'Administrativo '!#REF!="Mayor"),CONCATENATE("R",'Administrativo '!#REF!),"")</f>
        <v>#REF!</v>
      </c>
      <c r="AG6" s="349"/>
      <c r="AH6" s="338" t="str">
        <f ca="1">IF(AND('Administrativo '!$H$10="Muy Alta",'Administrativo '!$L$10="Catastrófico"),CONCATENATE("R",'Administrativo '!$A$10),"")</f>
        <v/>
      </c>
      <c r="AI6" s="339"/>
      <c r="AJ6" s="339" t="e">
        <f>IF(AND('Administrativo '!#REF!="Muy Alta",'Administrativo '!#REF!="Catastrófico"),CONCATENATE("R",'Administrativo '!#REF!),"")</f>
        <v>#REF!</v>
      </c>
      <c r="AK6" s="339"/>
      <c r="AL6" s="339" t="e">
        <f>IF(AND('Administrativo '!#REF!="Muy Alta",'Administrativo '!#REF!="Catastrófico"),CONCATENATE("R",'Administrativo '!#REF!),"")</f>
        <v>#REF!</v>
      </c>
      <c r="AM6" s="340"/>
      <c r="AO6" s="363" t="s">
        <v>116</v>
      </c>
      <c r="AP6" s="364"/>
      <c r="AQ6" s="364"/>
      <c r="AR6" s="364"/>
      <c r="AS6" s="364"/>
      <c r="AT6" s="36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361"/>
      <c r="C7" s="361"/>
      <c r="D7" s="362"/>
      <c r="E7" s="354"/>
      <c r="F7" s="355"/>
      <c r="G7" s="355"/>
      <c r="H7" s="355"/>
      <c r="I7" s="356"/>
      <c r="J7" s="341"/>
      <c r="K7" s="342"/>
      <c r="L7" s="342"/>
      <c r="M7" s="342"/>
      <c r="N7" s="342"/>
      <c r="O7" s="343"/>
      <c r="P7" s="341"/>
      <c r="Q7" s="342"/>
      <c r="R7" s="342"/>
      <c r="S7" s="342"/>
      <c r="T7" s="342"/>
      <c r="U7" s="343"/>
      <c r="V7" s="341"/>
      <c r="W7" s="342"/>
      <c r="X7" s="342"/>
      <c r="Y7" s="342"/>
      <c r="Z7" s="342"/>
      <c r="AA7" s="343"/>
      <c r="AB7" s="341"/>
      <c r="AC7" s="342"/>
      <c r="AD7" s="342"/>
      <c r="AE7" s="342"/>
      <c r="AF7" s="342"/>
      <c r="AG7" s="343"/>
      <c r="AH7" s="332"/>
      <c r="AI7" s="333"/>
      <c r="AJ7" s="333"/>
      <c r="AK7" s="333"/>
      <c r="AL7" s="333"/>
      <c r="AM7" s="334"/>
      <c r="AN7" s="84"/>
      <c r="AO7" s="366"/>
      <c r="AP7" s="367"/>
      <c r="AQ7" s="367"/>
      <c r="AR7" s="367"/>
      <c r="AS7" s="367"/>
      <c r="AT7" s="36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361"/>
      <c r="C8" s="361"/>
      <c r="D8" s="362"/>
      <c r="E8" s="354"/>
      <c r="F8" s="355"/>
      <c r="G8" s="355"/>
      <c r="H8" s="355"/>
      <c r="I8" s="356"/>
      <c r="J8" s="341" t="e">
        <f>IF(AND('Administrativo '!#REF!="Muy Alta",'Administrativo '!#REF!="Leve"),CONCATENATE("R",'Administrativo '!#REF!),"")</f>
        <v>#REF!</v>
      </c>
      <c r="K8" s="342"/>
      <c r="L8" s="342" t="e">
        <f>IF(AND('Administrativo '!#REF!="Muy Alta",'Administrativo '!#REF!="Leve"),CONCATENATE("R",'Administrativo '!#REF!),"")</f>
        <v>#REF!</v>
      </c>
      <c r="M8" s="342"/>
      <c r="N8" s="342" t="e">
        <f>IF(AND('Administrativo '!#REF!="Muy Alta",'Administrativo '!#REF!="Leve"),CONCATENATE("R",'Administrativo '!#REF!),"")</f>
        <v>#REF!</v>
      </c>
      <c r="O8" s="343"/>
      <c r="P8" s="341" t="e">
        <f>IF(AND('Administrativo '!#REF!="Muy Alta",'Administrativo '!#REF!="Menor"),CONCATENATE("R",'Administrativo '!#REF!),"")</f>
        <v>#REF!</v>
      </c>
      <c r="Q8" s="342"/>
      <c r="R8" s="342" t="e">
        <f>IF(AND('Administrativo '!#REF!="Muy Alta",'Administrativo '!#REF!="Menor"),CONCATENATE("R",'Administrativo '!#REF!),"")</f>
        <v>#REF!</v>
      </c>
      <c r="S8" s="342"/>
      <c r="T8" s="342" t="e">
        <f>IF(AND('Administrativo '!#REF!="Muy Alta",'Administrativo '!#REF!="Menor"),CONCATENATE("R",'Administrativo '!#REF!),"")</f>
        <v>#REF!</v>
      </c>
      <c r="U8" s="343"/>
      <c r="V8" s="341" t="e">
        <f>IF(AND('Administrativo '!#REF!="Muy Alta",'Administrativo '!#REF!="Moderado"),CONCATENATE("R",'Administrativo '!#REF!),"")</f>
        <v>#REF!</v>
      </c>
      <c r="W8" s="342"/>
      <c r="X8" s="342" t="e">
        <f>IF(AND('Administrativo '!#REF!="Muy Alta",'Administrativo '!#REF!="Moderado"),CONCATENATE("R",'Administrativo '!#REF!),"")</f>
        <v>#REF!</v>
      </c>
      <c r="Y8" s="342"/>
      <c r="Z8" s="342" t="e">
        <f>IF(AND('Administrativo '!#REF!="Muy Alta",'Administrativo '!#REF!="Moderado"),CONCATENATE("R",'Administrativo '!#REF!),"")</f>
        <v>#REF!</v>
      </c>
      <c r="AA8" s="343"/>
      <c r="AB8" s="341" t="e">
        <f>IF(AND('Administrativo '!#REF!="Muy Alta",'Administrativo '!#REF!="Mayor"),CONCATENATE("R",'Administrativo '!#REF!),"")</f>
        <v>#REF!</v>
      </c>
      <c r="AC8" s="342"/>
      <c r="AD8" s="342" t="e">
        <f>IF(AND('Administrativo '!#REF!="Muy Alta",'Administrativo '!#REF!="Mayor"),CONCATENATE("R",'Administrativo '!#REF!),"")</f>
        <v>#REF!</v>
      </c>
      <c r="AE8" s="342"/>
      <c r="AF8" s="342" t="e">
        <f>IF(AND('Administrativo '!#REF!="Muy Alta",'Administrativo '!#REF!="Mayor"),CONCATENATE("R",'Administrativo '!#REF!),"")</f>
        <v>#REF!</v>
      </c>
      <c r="AG8" s="343"/>
      <c r="AH8" s="332" t="e">
        <f>IF(AND('Administrativo '!#REF!="Muy Alta",'Administrativo '!#REF!="Catastrófico"),CONCATENATE("R",'Administrativo '!#REF!),"")</f>
        <v>#REF!</v>
      </c>
      <c r="AI8" s="333"/>
      <c r="AJ8" s="333" t="e">
        <f>IF(AND('Administrativo '!#REF!="Muy Alta",'Administrativo '!#REF!="Catastrófico"),CONCATENATE("R",'Administrativo '!#REF!),"")</f>
        <v>#REF!</v>
      </c>
      <c r="AK8" s="333"/>
      <c r="AL8" s="333" t="e">
        <f>IF(AND('Administrativo '!#REF!="Muy Alta",'Administrativo '!#REF!="Catastrófico"),CONCATENATE("R",'Administrativo '!#REF!),"")</f>
        <v>#REF!</v>
      </c>
      <c r="AM8" s="334"/>
      <c r="AN8" s="84"/>
      <c r="AO8" s="366"/>
      <c r="AP8" s="367"/>
      <c r="AQ8" s="367"/>
      <c r="AR8" s="367"/>
      <c r="AS8" s="367"/>
      <c r="AT8" s="36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361"/>
      <c r="C9" s="361"/>
      <c r="D9" s="362"/>
      <c r="E9" s="354"/>
      <c r="F9" s="355"/>
      <c r="G9" s="355"/>
      <c r="H9" s="355"/>
      <c r="I9" s="356"/>
      <c r="J9" s="341"/>
      <c r="K9" s="342"/>
      <c r="L9" s="342"/>
      <c r="M9" s="342"/>
      <c r="N9" s="342"/>
      <c r="O9" s="343"/>
      <c r="P9" s="341"/>
      <c r="Q9" s="342"/>
      <c r="R9" s="342"/>
      <c r="S9" s="342"/>
      <c r="T9" s="342"/>
      <c r="U9" s="343"/>
      <c r="V9" s="341"/>
      <c r="W9" s="342"/>
      <c r="X9" s="342"/>
      <c r="Y9" s="342"/>
      <c r="Z9" s="342"/>
      <c r="AA9" s="343"/>
      <c r="AB9" s="341"/>
      <c r="AC9" s="342"/>
      <c r="AD9" s="342"/>
      <c r="AE9" s="342"/>
      <c r="AF9" s="342"/>
      <c r="AG9" s="343"/>
      <c r="AH9" s="332"/>
      <c r="AI9" s="333"/>
      <c r="AJ9" s="333"/>
      <c r="AK9" s="333"/>
      <c r="AL9" s="333"/>
      <c r="AM9" s="334"/>
      <c r="AN9" s="84"/>
      <c r="AO9" s="366"/>
      <c r="AP9" s="367"/>
      <c r="AQ9" s="367"/>
      <c r="AR9" s="367"/>
      <c r="AS9" s="367"/>
      <c r="AT9" s="36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361"/>
      <c r="C10" s="361"/>
      <c r="D10" s="362"/>
      <c r="E10" s="354"/>
      <c r="F10" s="355"/>
      <c r="G10" s="355"/>
      <c r="H10" s="355"/>
      <c r="I10" s="356"/>
      <c r="J10" s="341" t="e">
        <f>IF(AND('Administrativo '!#REF!="Muy Alta",'Administrativo '!#REF!="Leve"),CONCATENATE("R",'Administrativo '!#REF!),"")</f>
        <v>#REF!</v>
      </c>
      <c r="K10" s="342"/>
      <c r="L10" s="342" t="e">
        <f>IF(AND('Administrativo '!#REF!="Muy Alta",'Administrativo '!#REF!="Leve"),CONCATENATE("R",'Administrativo '!#REF!),"")</f>
        <v>#REF!</v>
      </c>
      <c r="M10" s="342"/>
      <c r="N10" s="342" t="e">
        <f>IF(AND('Administrativo '!#REF!="Muy Alta",'Administrativo '!#REF!="Leve"),CONCATENATE("R",'Administrativo '!#REF!),"")</f>
        <v>#REF!</v>
      </c>
      <c r="O10" s="343"/>
      <c r="P10" s="341" t="e">
        <f>IF(AND('Administrativo '!#REF!="Muy Alta",'Administrativo '!#REF!="Menor"),CONCATENATE("R",'Administrativo '!#REF!),"")</f>
        <v>#REF!</v>
      </c>
      <c r="Q10" s="342"/>
      <c r="R10" s="342" t="e">
        <f>IF(AND('Administrativo '!#REF!="Muy Alta",'Administrativo '!#REF!="Menor"),CONCATENATE("R",'Administrativo '!#REF!),"")</f>
        <v>#REF!</v>
      </c>
      <c r="S10" s="342"/>
      <c r="T10" s="342" t="e">
        <f>IF(AND('Administrativo '!#REF!="Muy Alta",'Administrativo '!#REF!="Menor"),CONCATENATE("R",'Administrativo '!#REF!),"")</f>
        <v>#REF!</v>
      </c>
      <c r="U10" s="343"/>
      <c r="V10" s="341" t="e">
        <f>IF(AND('Administrativo '!#REF!="Muy Alta",'Administrativo '!#REF!="Moderado"),CONCATENATE("R",'Administrativo '!#REF!),"")</f>
        <v>#REF!</v>
      </c>
      <c r="W10" s="342"/>
      <c r="X10" s="342" t="e">
        <f>IF(AND('Administrativo '!#REF!="Muy Alta",'Administrativo '!#REF!="Moderado"),CONCATENATE("R",'Administrativo '!#REF!),"")</f>
        <v>#REF!</v>
      </c>
      <c r="Y10" s="342"/>
      <c r="Z10" s="342" t="e">
        <f>IF(AND('Administrativo '!#REF!="Muy Alta",'Administrativo '!#REF!="Moderado"),CONCATENATE("R",'Administrativo '!#REF!),"")</f>
        <v>#REF!</v>
      </c>
      <c r="AA10" s="343"/>
      <c r="AB10" s="341" t="e">
        <f>IF(AND('Administrativo '!#REF!="Muy Alta",'Administrativo '!#REF!="Mayor"),CONCATENATE("R",'Administrativo '!#REF!),"")</f>
        <v>#REF!</v>
      </c>
      <c r="AC10" s="342"/>
      <c r="AD10" s="342" t="e">
        <f>IF(AND('Administrativo '!#REF!="Muy Alta",'Administrativo '!#REF!="Mayor"),CONCATENATE("R",'Administrativo '!#REF!),"")</f>
        <v>#REF!</v>
      </c>
      <c r="AE10" s="342"/>
      <c r="AF10" s="342" t="e">
        <f>IF(AND('Administrativo '!#REF!="Muy Alta",'Administrativo '!#REF!="Mayor"),CONCATENATE("R",'Administrativo '!#REF!),"")</f>
        <v>#REF!</v>
      </c>
      <c r="AG10" s="343"/>
      <c r="AH10" s="332" t="e">
        <f>IF(AND('Administrativo '!#REF!="Muy Alta",'Administrativo '!#REF!="Catastrófico"),CONCATENATE("R",'Administrativo '!#REF!),"")</f>
        <v>#REF!</v>
      </c>
      <c r="AI10" s="333"/>
      <c r="AJ10" s="333" t="e">
        <f>IF(AND('Administrativo '!#REF!="Muy Alta",'Administrativo '!#REF!="Catastrófico"),CONCATENATE("R",'Administrativo '!#REF!),"")</f>
        <v>#REF!</v>
      </c>
      <c r="AK10" s="333"/>
      <c r="AL10" s="333" t="e">
        <f>IF(AND('Administrativo '!#REF!="Muy Alta",'Administrativo '!#REF!="Catastrófico"),CONCATENATE("R",'Administrativo '!#REF!),"")</f>
        <v>#REF!</v>
      </c>
      <c r="AM10" s="334"/>
      <c r="AN10" s="84"/>
      <c r="AO10" s="366"/>
      <c r="AP10" s="367"/>
      <c r="AQ10" s="367"/>
      <c r="AR10" s="367"/>
      <c r="AS10" s="367"/>
      <c r="AT10" s="36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361"/>
      <c r="C11" s="361"/>
      <c r="D11" s="362"/>
      <c r="E11" s="354"/>
      <c r="F11" s="355"/>
      <c r="G11" s="355"/>
      <c r="H11" s="355"/>
      <c r="I11" s="356"/>
      <c r="J11" s="341"/>
      <c r="K11" s="342"/>
      <c r="L11" s="342"/>
      <c r="M11" s="342"/>
      <c r="N11" s="342"/>
      <c r="O11" s="343"/>
      <c r="P11" s="341"/>
      <c r="Q11" s="342"/>
      <c r="R11" s="342"/>
      <c r="S11" s="342"/>
      <c r="T11" s="342"/>
      <c r="U11" s="343"/>
      <c r="V11" s="341"/>
      <c r="W11" s="342"/>
      <c r="X11" s="342"/>
      <c r="Y11" s="342"/>
      <c r="Z11" s="342"/>
      <c r="AA11" s="343"/>
      <c r="AB11" s="341"/>
      <c r="AC11" s="342"/>
      <c r="AD11" s="342"/>
      <c r="AE11" s="342"/>
      <c r="AF11" s="342"/>
      <c r="AG11" s="343"/>
      <c r="AH11" s="332"/>
      <c r="AI11" s="333"/>
      <c r="AJ11" s="333"/>
      <c r="AK11" s="333"/>
      <c r="AL11" s="333"/>
      <c r="AM11" s="334"/>
      <c r="AN11" s="84"/>
      <c r="AO11" s="366"/>
      <c r="AP11" s="367"/>
      <c r="AQ11" s="367"/>
      <c r="AR11" s="367"/>
      <c r="AS11" s="367"/>
      <c r="AT11" s="36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361"/>
      <c r="C12" s="361"/>
      <c r="D12" s="362"/>
      <c r="E12" s="354"/>
      <c r="F12" s="355"/>
      <c r="G12" s="355"/>
      <c r="H12" s="355"/>
      <c r="I12" s="356"/>
      <c r="J12" s="341" t="e">
        <f>IF(AND('Administrativo '!#REF!="Muy Alta",'Administrativo '!#REF!="Leve"),CONCATENATE("R",'Administrativo '!#REF!),"")</f>
        <v>#REF!</v>
      </c>
      <c r="K12" s="342"/>
      <c r="L12" s="342" t="str">
        <f>IF(AND('Administrativo '!$H$12="Muy Alta",'Administrativo '!$L$12="Leve"),CONCATENATE("R",'Administrativo '!$A$12),"")</f>
        <v/>
      </c>
      <c r="M12" s="342"/>
      <c r="N12" s="342" t="str">
        <f>IF(AND('Administrativo '!$H$18="Muy Alta",'Administrativo '!$L$18="Leve"),CONCATENATE("R",'Administrativo '!$A$18),"")</f>
        <v/>
      </c>
      <c r="O12" s="343"/>
      <c r="P12" s="341" t="e">
        <f>IF(AND('Administrativo '!#REF!="Muy Alta",'Administrativo '!#REF!="Menor"),CONCATENATE("R",'Administrativo '!#REF!),"")</f>
        <v>#REF!</v>
      </c>
      <c r="Q12" s="342"/>
      <c r="R12" s="342" t="str">
        <f>IF(AND('Administrativo '!$H$12="Muy Alta",'Administrativo '!$L$12="Menor"),CONCATENATE("R",'Administrativo '!$A$12),"")</f>
        <v/>
      </c>
      <c r="S12" s="342"/>
      <c r="T12" s="342" t="str">
        <f>IF(AND('Administrativo '!$H$18="Muy Alta",'Administrativo '!$L$18="Menor"),CONCATENATE("R",'Administrativo '!$A$18),"")</f>
        <v/>
      </c>
      <c r="U12" s="343"/>
      <c r="V12" s="341" t="e">
        <f>IF(AND('Administrativo '!#REF!="Muy Alta",'Administrativo '!#REF!="Moderado"),CONCATENATE("R",'Administrativo '!#REF!),"")</f>
        <v>#REF!</v>
      </c>
      <c r="W12" s="342"/>
      <c r="X12" s="342" t="str">
        <f>IF(AND('Administrativo '!$H$12="Muy Alta",'Administrativo '!$L$12="Moderado"),CONCATENATE("R",'Administrativo '!$A$12),"")</f>
        <v/>
      </c>
      <c r="Y12" s="342"/>
      <c r="Z12" s="342" t="str">
        <f>IF(AND('Administrativo '!$H$18="Muy Alta",'Administrativo '!$L$18="Moderado"),CONCATENATE("R",'Administrativo '!$A$18),"")</f>
        <v/>
      </c>
      <c r="AA12" s="343"/>
      <c r="AB12" s="341" t="e">
        <f>IF(AND('Administrativo '!#REF!="Muy Alta",'Administrativo '!#REF!="Mayor"),CONCATENATE("R",'Administrativo '!#REF!),"")</f>
        <v>#REF!</v>
      </c>
      <c r="AC12" s="342"/>
      <c r="AD12" s="342" t="str">
        <f>IF(AND('Administrativo '!$H$12="Muy Alta",'Administrativo '!$L$12="Mayor"),CONCATENATE("R",'Administrativo '!$A$12),"")</f>
        <v/>
      </c>
      <c r="AE12" s="342"/>
      <c r="AF12" s="342" t="str">
        <f>IF(AND('Administrativo '!$H$18="Muy Alta",'Administrativo '!$L$18="Mayor"),CONCATENATE("R",'Administrativo '!$A$18),"")</f>
        <v/>
      </c>
      <c r="AG12" s="343"/>
      <c r="AH12" s="332" t="e">
        <f>IF(AND('Administrativo '!#REF!="Muy Alta",'Administrativo '!#REF!="Catastrófico"),CONCATENATE("R",'Administrativo '!#REF!),"")</f>
        <v>#REF!</v>
      </c>
      <c r="AI12" s="333"/>
      <c r="AJ12" s="333" t="str">
        <f>IF(AND('Administrativo '!$H$12="Muy Alta",'Administrativo '!$L$12="Catastrófico"),CONCATENATE("R",'Administrativo '!$A$12),"")</f>
        <v/>
      </c>
      <c r="AK12" s="333"/>
      <c r="AL12" s="333" t="str">
        <f>IF(AND('Administrativo '!$H$18="Muy Alta",'Administrativo '!$L$18="Catastrófico"),CONCATENATE("R",'Administrativo '!$A$18),"")</f>
        <v/>
      </c>
      <c r="AM12" s="334"/>
      <c r="AN12" s="84"/>
      <c r="AO12" s="366"/>
      <c r="AP12" s="367"/>
      <c r="AQ12" s="367"/>
      <c r="AR12" s="367"/>
      <c r="AS12" s="367"/>
      <c r="AT12" s="36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361"/>
      <c r="C13" s="361"/>
      <c r="D13" s="362"/>
      <c r="E13" s="357"/>
      <c r="F13" s="358"/>
      <c r="G13" s="358"/>
      <c r="H13" s="358"/>
      <c r="I13" s="359"/>
      <c r="J13" s="341"/>
      <c r="K13" s="342"/>
      <c r="L13" s="342"/>
      <c r="M13" s="342"/>
      <c r="N13" s="342"/>
      <c r="O13" s="343"/>
      <c r="P13" s="341"/>
      <c r="Q13" s="342"/>
      <c r="R13" s="342"/>
      <c r="S13" s="342"/>
      <c r="T13" s="342"/>
      <c r="U13" s="343"/>
      <c r="V13" s="341"/>
      <c r="W13" s="342"/>
      <c r="X13" s="342"/>
      <c r="Y13" s="342"/>
      <c r="Z13" s="342"/>
      <c r="AA13" s="343"/>
      <c r="AB13" s="341"/>
      <c r="AC13" s="342"/>
      <c r="AD13" s="342"/>
      <c r="AE13" s="342"/>
      <c r="AF13" s="342"/>
      <c r="AG13" s="343"/>
      <c r="AH13" s="335"/>
      <c r="AI13" s="336"/>
      <c r="AJ13" s="336"/>
      <c r="AK13" s="336"/>
      <c r="AL13" s="336"/>
      <c r="AM13" s="337"/>
      <c r="AN13" s="84"/>
      <c r="AO13" s="369"/>
      <c r="AP13" s="370"/>
      <c r="AQ13" s="370"/>
      <c r="AR13" s="370"/>
      <c r="AS13" s="370"/>
      <c r="AT13" s="371"/>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361"/>
      <c r="C14" s="361"/>
      <c r="D14" s="362"/>
      <c r="E14" s="351" t="s">
        <v>117</v>
      </c>
      <c r="F14" s="352"/>
      <c r="G14" s="352"/>
      <c r="H14" s="352"/>
      <c r="I14" s="352"/>
      <c r="J14" s="329" t="str">
        <f ca="1">IF(AND('Administrativo '!$H$10="Alta",'Administrativo '!$L$10="Leve"),CONCATENATE("R",'Administrativo '!$A$10),"")</f>
        <v/>
      </c>
      <c r="K14" s="330"/>
      <c r="L14" s="330" t="e">
        <f>IF(AND('Administrativo '!#REF!="Alta",'Administrativo '!#REF!="Leve"),CONCATENATE("R",'Administrativo '!#REF!),"")</f>
        <v>#REF!</v>
      </c>
      <c r="M14" s="330"/>
      <c r="N14" s="330" t="e">
        <f>IF(AND('Administrativo '!#REF!="Alta",'Administrativo '!#REF!="Leve"),CONCATENATE("R",'Administrativo '!#REF!),"")</f>
        <v>#REF!</v>
      </c>
      <c r="O14" s="331"/>
      <c r="P14" s="329" t="str">
        <f ca="1">IF(AND('Administrativo '!$H$10="Alta",'Administrativo '!$L$10="Menor"),CONCATENATE("R",'Administrativo '!$A$10),"")</f>
        <v/>
      </c>
      <c r="Q14" s="330"/>
      <c r="R14" s="330" t="e">
        <f>IF(AND('Administrativo '!#REF!="Alta",'Administrativo '!#REF!="Menor"),CONCATENATE("R",'Administrativo '!#REF!),"")</f>
        <v>#REF!</v>
      </c>
      <c r="S14" s="330"/>
      <c r="T14" s="330" t="e">
        <f>IF(AND('Administrativo '!#REF!="Alta",'Administrativo '!#REF!="Menor"),CONCATENATE("R",'Administrativo '!#REF!),"")</f>
        <v>#REF!</v>
      </c>
      <c r="U14" s="331"/>
      <c r="V14" s="347" t="str">
        <f ca="1">IF(AND('Administrativo '!$H$10="Alta",'Administrativo '!$L$10="Moderado"),CONCATENATE("R",'Administrativo '!$A$10),"")</f>
        <v/>
      </c>
      <c r="W14" s="348"/>
      <c r="X14" s="348" t="e">
        <f>IF(AND('Administrativo '!#REF!="Alta",'Administrativo '!#REF!="Moderado"),CONCATENATE("R",'Administrativo '!#REF!),"")</f>
        <v>#REF!</v>
      </c>
      <c r="Y14" s="348"/>
      <c r="Z14" s="348" t="e">
        <f>IF(AND('Administrativo '!#REF!="Alta",'Administrativo '!#REF!="Moderado"),CONCATENATE("R",'Administrativo '!#REF!),"")</f>
        <v>#REF!</v>
      </c>
      <c r="AA14" s="349"/>
      <c r="AB14" s="347" t="str">
        <f ca="1">IF(AND('Administrativo '!$H$10="Alta",'Administrativo '!$L$10="Mayor"),CONCATENATE("R",'Administrativo '!$A$10),"")</f>
        <v/>
      </c>
      <c r="AC14" s="348"/>
      <c r="AD14" s="348" t="e">
        <f>IF(AND('Administrativo '!#REF!="Alta",'Administrativo '!#REF!="Mayor"),CONCATENATE("R",'Administrativo '!#REF!),"")</f>
        <v>#REF!</v>
      </c>
      <c r="AE14" s="348"/>
      <c r="AF14" s="348" t="e">
        <f>IF(AND('Administrativo '!#REF!="Alta",'Administrativo '!#REF!="Mayor"),CONCATENATE("R",'Administrativo '!#REF!),"")</f>
        <v>#REF!</v>
      </c>
      <c r="AG14" s="349"/>
      <c r="AH14" s="338" t="str">
        <f ca="1">IF(AND('Administrativo '!$H$10="Alta",'Administrativo '!$L$10="Catastrófico"),CONCATENATE("R",'Administrativo '!$A$10),"")</f>
        <v/>
      </c>
      <c r="AI14" s="339"/>
      <c r="AJ14" s="339" t="e">
        <f>IF(AND('Administrativo '!#REF!="Alta",'Administrativo '!#REF!="Catastrófico"),CONCATENATE("R",'Administrativo '!#REF!),"")</f>
        <v>#REF!</v>
      </c>
      <c r="AK14" s="339"/>
      <c r="AL14" s="339" t="e">
        <f>IF(AND('Administrativo '!#REF!="Alta",'Administrativo '!#REF!="Catastrófico"),CONCATENATE("R",'Administrativo '!#REF!),"")</f>
        <v>#REF!</v>
      </c>
      <c r="AM14" s="340"/>
      <c r="AN14" s="84"/>
      <c r="AO14" s="372" t="s">
        <v>118</v>
      </c>
      <c r="AP14" s="373"/>
      <c r="AQ14" s="373"/>
      <c r="AR14" s="373"/>
      <c r="AS14" s="373"/>
      <c r="AT14" s="37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361"/>
      <c r="C15" s="361"/>
      <c r="D15" s="362"/>
      <c r="E15" s="354"/>
      <c r="F15" s="355"/>
      <c r="G15" s="355"/>
      <c r="H15" s="355"/>
      <c r="I15" s="355"/>
      <c r="J15" s="323"/>
      <c r="K15" s="324"/>
      <c r="L15" s="324"/>
      <c r="M15" s="324"/>
      <c r="N15" s="324"/>
      <c r="O15" s="325"/>
      <c r="P15" s="323"/>
      <c r="Q15" s="324"/>
      <c r="R15" s="324"/>
      <c r="S15" s="324"/>
      <c r="T15" s="324"/>
      <c r="U15" s="325"/>
      <c r="V15" s="341"/>
      <c r="W15" s="342"/>
      <c r="X15" s="342"/>
      <c r="Y15" s="342"/>
      <c r="Z15" s="342"/>
      <c r="AA15" s="343"/>
      <c r="AB15" s="341"/>
      <c r="AC15" s="342"/>
      <c r="AD15" s="342"/>
      <c r="AE15" s="342"/>
      <c r="AF15" s="342"/>
      <c r="AG15" s="343"/>
      <c r="AH15" s="332"/>
      <c r="AI15" s="333"/>
      <c r="AJ15" s="333"/>
      <c r="AK15" s="333"/>
      <c r="AL15" s="333"/>
      <c r="AM15" s="334"/>
      <c r="AN15" s="84"/>
      <c r="AO15" s="375"/>
      <c r="AP15" s="376"/>
      <c r="AQ15" s="376"/>
      <c r="AR15" s="376"/>
      <c r="AS15" s="376"/>
      <c r="AT15" s="377"/>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361"/>
      <c r="C16" s="361"/>
      <c r="D16" s="362"/>
      <c r="E16" s="354"/>
      <c r="F16" s="355"/>
      <c r="G16" s="355"/>
      <c r="H16" s="355"/>
      <c r="I16" s="355"/>
      <c r="J16" s="323" t="e">
        <f>IF(AND('Administrativo '!#REF!="Alta",'Administrativo '!#REF!="Leve"),CONCATENATE("R",'Administrativo '!#REF!),"")</f>
        <v>#REF!</v>
      </c>
      <c r="K16" s="324"/>
      <c r="L16" s="324" t="e">
        <f>IF(AND('Administrativo '!#REF!="Alta",'Administrativo '!#REF!="Leve"),CONCATENATE("R",'Administrativo '!#REF!),"")</f>
        <v>#REF!</v>
      </c>
      <c r="M16" s="324"/>
      <c r="N16" s="324" t="e">
        <f>IF(AND('Administrativo '!#REF!="Alta",'Administrativo '!#REF!="Leve"),CONCATENATE("R",'Administrativo '!#REF!),"")</f>
        <v>#REF!</v>
      </c>
      <c r="O16" s="325"/>
      <c r="P16" s="323" t="e">
        <f>IF(AND('Administrativo '!#REF!="Alta",'Administrativo '!#REF!="Menor"),CONCATENATE("R",'Administrativo '!#REF!),"")</f>
        <v>#REF!</v>
      </c>
      <c r="Q16" s="324"/>
      <c r="R16" s="324" t="e">
        <f>IF(AND('Administrativo '!#REF!="Alta",'Administrativo '!#REF!="Menor"),CONCATENATE("R",'Administrativo '!#REF!),"")</f>
        <v>#REF!</v>
      </c>
      <c r="S16" s="324"/>
      <c r="T16" s="324" t="e">
        <f>IF(AND('Administrativo '!#REF!="Alta",'Administrativo '!#REF!="Menor"),CONCATENATE("R",'Administrativo '!#REF!),"")</f>
        <v>#REF!</v>
      </c>
      <c r="U16" s="325"/>
      <c r="V16" s="341" t="e">
        <f>IF(AND('Administrativo '!#REF!="Alta",'Administrativo '!#REF!="Moderado"),CONCATENATE("R",'Administrativo '!#REF!),"")</f>
        <v>#REF!</v>
      </c>
      <c r="W16" s="342"/>
      <c r="X16" s="342" t="e">
        <f>IF(AND('Administrativo '!#REF!="Alta",'Administrativo '!#REF!="Moderado"),CONCATENATE("R",'Administrativo '!#REF!),"")</f>
        <v>#REF!</v>
      </c>
      <c r="Y16" s="342"/>
      <c r="Z16" s="342" t="e">
        <f>IF(AND('Administrativo '!#REF!="Alta",'Administrativo '!#REF!="Moderado"),CONCATENATE("R",'Administrativo '!#REF!),"")</f>
        <v>#REF!</v>
      </c>
      <c r="AA16" s="343"/>
      <c r="AB16" s="341" t="e">
        <f>IF(AND('Administrativo '!#REF!="Alta",'Administrativo '!#REF!="Mayor"),CONCATENATE("R",'Administrativo '!#REF!),"")</f>
        <v>#REF!</v>
      </c>
      <c r="AC16" s="342"/>
      <c r="AD16" s="342" t="e">
        <f>IF(AND('Administrativo '!#REF!="Alta",'Administrativo '!#REF!="Mayor"),CONCATENATE("R",'Administrativo '!#REF!),"")</f>
        <v>#REF!</v>
      </c>
      <c r="AE16" s="342"/>
      <c r="AF16" s="342" t="e">
        <f>IF(AND('Administrativo '!#REF!="Alta",'Administrativo '!#REF!="Mayor"),CONCATENATE("R",'Administrativo '!#REF!),"")</f>
        <v>#REF!</v>
      </c>
      <c r="AG16" s="343"/>
      <c r="AH16" s="332" t="e">
        <f>IF(AND('Administrativo '!#REF!="Alta",'Administrativo '!#REF!="Catastrófico"),CONCATENATE("R",'Administrativo '!#REF!),"")</f>
        <v>#REF!</v>
      </c>
      <c r="AI16" s="333"/>
      <c r="AJ16" s="333" t="e">
        <f>IF(AND('Administrativo '!#REF!="Alta",'Administrativo '!#REF!="Catastrófico"),CONCATENATE("R",'Administrativo '!#REF!),"")</f>
        <v>#REF!</v>
      </c>
      <c r="AK16" s="333"/>
      <c r="AL16" s="333" t="e">
        <f>IF(AND('Administrativo '!#REF!="Alta",'Administrativo '!#REF!="Catastrófico"),CONCATENATE("R",'Administrativo '!#REF!),"")</f>
        <v>#REF!</v>
      </c>
      <c r="AM16" s="334"/>
      <c r="AN16" s="84"/>
      <c r="AO16" s="375"/>
      <c r="AP16" s="376"/>
      <c r="AQ16" s="376"/>
      <c r="AR16" s="376"/>
      <c r="AS16" s="376"/>
      <c r="AT16" s="377"/>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361"/>
      <c r="C17" s="361"/>
      <c r="D17" s="362"/>
      <c r="E17" s="354"/>
      <c r="F17" s="355"/>
      <c r="G17" s="355"/>
      <c r="H17" s="355"/>
      <c r="I17" s="355"/>
      <c r="J17" s="323"/>
      <c r="K17" s="324"/>
      <c r="L17" s="324"/>
      <c r="M17" s="324"/>
      <c r="N17" s="324"/>
      <c r="O17" s="325"/>
      <c r="P17" s="323"/>
      <c r="Q17" s="324"/>
      <c r="R17" s="324"/>
      <c r="S17" s="324"/>
      <c r="T17" s="324"/>
      <c r="U17" s="325"/>
      <c r="V17" s="341"/>
      <c r="W17" s="342"/>
      <c r="X17" s="342"/>
      <c r="Y17" s="342"/>
      <c r="Z17" s="342"/>
      <c r="AA17" s="343"/>
      <c r="AB17" s="341"/>
      <c r="AC17" s="342"/>
      <c r="AD17" s="342"/>
      <c r="AE17" s="342"/>
      <c r="AF17" s="342"/>
      <c r="AG17" s="343"/>
      <c r="AH17" s="332"/>
      <c r="AI17" s="333"/>
      <c r="AJ17" s="333"/>
      <c r="AK17" s="333"/>
      <c r="AL17" s="333"/>
      <c r="AM17" s="334"/>
      <c r="AN17" s="84"/>
      <c r="AO17" s="375"/>
      <c r="AP17" s="376"/>
      <c r="AQ17" s="376"/>
      <c r="AR17" s="376"/>
      <c r="AS17" s="376"/>
      <c r="AT17" s="377"/>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361"/>
      <c r="C18" s="361"/>
      <c r="D18" s="362"/>
      <c r="E18" s="354"/>
      <c r="F18" s="355"/>
      <c r="G18" s="355"/>
      <c r="H18" s="355"/>
      <c r="I18" s="355"/>
      <c r="J18" s="323" t="e">
        <f>IF(AND('Administrativo '!#REF!="Alta",'Administrativo '!#REF!="Leve"),CONCATENATE("R",'Administrativo '!#REF!),"")</f>
        <v>#REF!</v>
      </c>
      <c r="K18" s="324"/>
      <c r="L18" s="324" t="e">
        <f>IF(AND('Administrativo '!#REF!="Alta",'Administrativo '!#REF!="Leve"),CONCATENATE("R",'Administrativo '!#REF!),"")</f>
        <v>#REF!</v>
      </c>
      <c r="M18" s="324"/>
      <c r="N18" s="324" t="e">
        <f>IF(AND('Administrativo '!#REF!="Alta",'Administrativo '!#REF!="Leve"),CONCATENATE("R",'Administrativo '!#REF!),"")</f>
        <v>#REF!</v>
      </c>
      <c r="O18" s="325"/>
      <c r="P18" s="323" t="e">
        <f>IF(AND('Administrativo '!#REF!="Alta",'Administrativo '!#REF!="Menor"),CONCATENATE("R",'Administrativo '!#REF!),"")</f>
        <v>#REF!</v>
      </c>
      <c r="Q18" s="324"/>
      <c r="R18" s="324" t="e">
        <f>IF(AND('Administrativo '!#REF!="Alta",'Administrativo '!#REF!="Menor"),CONCATENATE("R",'Administrativo '!#REF!),"")</f>
        <v>#REF!</v>
      </c>
      <c r="S18" s="324"/>
      <c r="T18" s="324" t="e">
        <f>IF(AND('Administrativo '!#REF!="Alta",'Administrativo '!#REF!="Menor"),CONCATENATE("R",'Administrativo '!#REF!),"")</f>
        <v>#REF!</v>
      </c>
      <c r="U18" s="325"/>
      <c r="V18" s="341" t="e">
        <f>IF(AND('Administrativo '!#REF!="Alta",'Administrativo '!#REF!="Moderado"),CONCATENATE("R",'Administrativo '!#REF!),"")</f>
        <v>#REF!</v>
      </c>
      <c r="W18" s="342"/>
      <c r="X18" s="342" t="e">
        <f>IF(AND('Administrativo '!#REF!="Alta",'Administrativo '!#REF!="Moderado"),CONCATENATE("R",'Administrativo '!#REF!),"")</f>
        <v>#REF!</v>
      </c>
      <c r="Y18" s="342"/>
      <c r="Z18" s="342" t="e">
        <f>IF(AND('Administrativo '!#REF!="Alta",'Administrativo '!#REF!="Moderado"),CONCATENATE("R",'Administrativo '!#REF!),"")</f>
        <v>#REF!</v>
      </c>
      <c r="AA18" s="343"/>
      <c r="AB18" s="341" t="e">
        <f>IF(AND('Administrativo '!#REF!="Alta",'Administrativo '!#REF!="Mayor"),CONCATENATE("R",'Administrativo '!#REF!),"")</f>
        <v>#REF!</v>
      </c>
      <c r="AC18" s="342"/>
      <c r="AD18" s="342" t="e">
        <f>IF(AND('Administrativo '!#REF!="Alta",'Administrativo '!#REF!="Mayor"),CONCATENATE("R",'Administrativo '!#REF!),"")</f>
        <v>#REF!</v>
      </c>
      <c r="AE18" s="342"/>
      <c r="AF18" s="342" t="e">
        <f>IF(AND('Administrativo '!#REF!="Alta",'Administrativo '!#REF!="Mayor"),CONCATENATE("R",'Administrativo '!#REF!),"")</f>
        <v>#REF!</v>
      </c>
      <c r="AG18" s="343"/>
      <c r="AH18" s="332" t="e">
        <f>IF(AND('Administrativo '!#REF!="Alta",'Administrativo '!#REF!="Catastrófico"),CONCATENATE("R",'Administrativo '!#REF!),"")</f>
        <v>#REF!</v>
      </c>
      <c r="AI18" s="333"/>
      <c r="AJ18" s="333" t="e">
        <f>IF(AND('Administrativo '!#REF!="Alta",'Administrativo '!#REF!="Catastrófico"),CONCATENATE("R",'Administrativo '!#REF!),"")</f>
        <v>#REF!</v>
      </c>
      <c r="AK18" s="333"/>
      <c r="AL18" s="333" t="e">
        <f>IF(AND('Administrativo '!#REF!="Alta",'Administrativo '!#REF!="Catastrófico"),CONCATENATE("R",'Administrativo '!#REF!),"")</f>
        <v>#REF!</v>
      </c>
      <c r="AM18" s="334"/>
      <c r="AN18" s="84"/>
      <c r="AO18" s="375"/>
      <c r="AP18" s="376"/>
      <c r="AQ18" s="376"/>
      <c r="AR18" s="376"/>
      <c r="AS18" s="376"/>
      <c r="AT18" s="377"/>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361"/>
      <c r="C19" s="361"/>
      <c r="D19" s="362"/>
      <c r="E19" s="354"/>
      <c r="F19" s="355"/>
      <c r="G19" s="355"/>
      <c r="H19" s="355"/>
      <c r="I19" s="355"/>
      <c r="J19" s="323"/>
      <c r="K19" s="324"/>
      <c r="L19" s="324"/>
      <c r="M19" s="324"/>
      <c r="N19" s="324"/>
      <c r="O19" s="325"/>
      <c r="P19" s="323"/>
      <c r="Q19" s="324"/>
      <c r="R19" s="324"/>
      <c r="S19" s="324"/>
      <c r="T19" s="324"/>
      <c r="U19" s="325"/>
      <c r="V19" s="341"/>
      <c r="W19" s="342"/>
      <c r="X19" s="342"/>
      <c r="Y19" s="342"/>
      <c r="Z19" s="342"/>
      <c r="AA19" s="343"/>
      <c r="AB19" s="341"/>
      <c r="AC19" s="342"/>
      <c r="AD19" s="342"/>
      <c r="AE19" s="342"/>
      <c r="AF19" s="342"/>
      <c r="AG19" s="343"/>
      <c r="AH19" s="332"/>
      <c r="AI19" s="333"/>
      <c r="AJ19" s="333"/>
      <c r="AK19" s="333"/>
      <c r="AL19" s="333"/>
      <c r="AM19" s="334"/>
      <c r="AN19" s="84"/>
      <c r="AO19" s="375"/>
      <c r="AP19" s="376"/>
      <c r="AQ19" s="376"/>
      <c r="AR19" s="376"/>
      <c r="AS19" s="376"/>
      <c r="AT19" s="377"/>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361"/>
      <c r="C20" s="361"/>
      <c r="D20" s="362"/>
      <c r="E20" s="354"/>
      <c r="F20" s="355"/>
      <c r="G20" s="355"/>
      <c r="H20" s="355"/>
      <c r="I20" s="355"/>
      <c r="J20" s="323" t="e">
        <f>IF(AND('Administrativo '!#REF!="Alta",'Administrativo '!#REF!="Leve"),CONCATENATE("R",'Administrativo '!#REF!),"")</f>
        <v>#REF!</v>
      </c>
      <c r="K20" s="324"/>
      <c r="L20" s="324" t="str">
        <f>IF(AND('Administrativo '!$H$12="Alta",'Administrativo '!$L$12="Leve"),CONCATENATE("R",'Administrativo '!$A$12),"")</f>
        <v/>
      </c>
      <c r="M20" s="324"/>
      <c r="N20" s="324" t="str">
        <f>IF(AND('Administrativo '!$H$18="Alta",'Administrativo '!$L$18="Leve"),CONCATENATE("R",'Administrativo '!$A$18),"")</f>
        <v/>
      </c>
      <c r="O20" s="325"/>
      <c r="P20" s="323" t="e">
        <f>IF(AND('Administrativo '!#REF!="Alta",'Administrativo '!#REF!="Menor"),CONCATENATE("R",'Administrativo '!#REF!),"")</f>
        <v>#REF!</v>
      </c>
      <c r="Q20" s="324"/>
      <c r="R20" s="324" t="str">
        <f>IF(AND('Administrativo '!$H$12="Alta",'Administrativo '!$L$12="Menor"),CONCATENATE("R",'Administrativo '!$A$12),"")</f>
        <v/>
      </c>
      <c r="S20" s="324"/>
      <c r="T20" s="324" t="str">
        <f>IF(AND('Administrativo '!$H$18="Alta",'Administrativo '!$L$18="Menor"),CONCATENATE("R",'Administrativo '!$A$18),"")</f>
        <v/>
      </c>
      <c r="U20" s="325"/>
      <c r="V20" s="341" t="e">
        <f>IF(AND('Administrativo '!#REF!="Alta",'Administrativo '!#REF!="Moderado"),CONCATENATE("R",'Administrativo '!#REF!),"")</f>
        <v>#REF!</v>
      </c>
      <c r="W20" s="342"/>
      <c r="X20" s="342" t="str">
        <f>IF(AND('Administrativo '!$H$12="Alta",'Administrativo '!$L$12="Moderado"),CONCATENATE("R",'Administrativo '!$A$12),"")</f>
        <v/>
      </c>
      <c r="Y20" s="342"/>
      <c r="Z20" s="342" t="str">
        <f>IF(AND('Administrativo '!$H$18="Alta",'Administrativo '!$L$18="Moderado"),CONCATENATE("R",'Administrativo '!$A$18),"")</f>
        <v/>
      </c>
      <c r="AA20" s="343"/>
      <c r="AB20" s="341" t="e">
        <f>IF(AND('Administrativo '!#REF!="Alta",'Administrativo '!#REF!="Mayor"),CONCATENATE("R",'Administrativo '!#REF!),"")</f>
        <v>#REF!</v>
      </c>
      <c r="AC20" s="342"/>
      <c r="AD20" s="342" t="str">
        <f>IF(AND('Administrativo '!$H$12="Alta",'Administrativo '!$L$12="Mayor"),CONCATENATE("R",'Administrativo '!$A$12),"")</f>
        <v/>
      </c>
      <c r="AE20" s="342"/>
      <c r="AF20" s="342" t="str">
        <f>IF(AND('Administrativo '!$H$18="Alta",'Administrativo '!$L$18="Mayor"),CONCATENATE("R",'Administrativo '!$A$18),"")</f>
        <v/>
      </c>
      <c r="AG20" s="343"/>
      <c r="AH20" s="332" t="e">
        <f>IF(AND('Administrativo '!#REF!="Alta",'Administrativo '!#REF!="Catastrófico"),CONCATENATE("R",'Administrativo '!#REF!),"")</f>
        <v>#REF!</v>
      </c>
      <c r="AI20" s="333"/>
      <c r="AJ20" s="333" t="str">
        <f>IF(AND('Administrativo '!$H$12="Alta",'Administrativo '!$L$12="Catastrófico"),CONCATENATE("R",'Administrativo '!$A$12),"")</f>
        <v/>
      </c>
      <c r="AK20" s="333"/>
      <c r="AL20" s="333" t="str">
        <f>IF(AND('Administrativo '!$H$18="Alta",'Administrativo '!$L$18="Catastrófico"),CONCATENATE("R",'Administrativo '!$A$18),"")</f>
        <v/>
      </c>
      <c r="AM20" s="334"/>
      <c r="AN20" s="84"/>
      <c r="AO20" s="375"/>
      <c r="AP20" s="376"/>
      <c r="AQ20" s="376"/>
      <c r="AR20" s="376"/>
      <c r="AS20" s="376"/>
      <c r="AT20" s="377"/>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361"/>
      <c r="C21" s="361"/>
      <c r="D21" s="362"/>
      <c r="E21" s="357"/>
      <c r="F21" s="358"/>
      <c r="G21" s="358"/>
      <c r="H21" s="358"/>
      <c r="I21" s="358"/>
      <c r="J21" s="326"/>
      <c r="K21" s="327"/>
      <c r="L21" s="327"/>
      <c r="M21" s="327"/>
      <c r="N21" s="327"/>
      <c r="O21" s="328"/>
      <c r="P21" s="326"/>
      <c r="Q21" s="327"/>
      <c r="R21" s="327"/>
      <c r="S21" s="327"/>
      <c r="T21" s="327"/>
      <c r="U21" s="328"/>
      <c r="V21" s="344"/>
      <c r="W21" s="345"/>
      <c r="X21" s="345"/>
      <c r="Y21" s="345"/>
      <c r="Z21" s="345"/>
      <c r="AA21" s="346"/>
      <c r="AB21" s="344"/>
      <c r="AC21" s="345"/>
      <c r="AD21" s="345"/>
      <c r="AE21" s="345"/>
      <c r="AF21" s="345"/>
      <c r="AG21" s="346"/>
      <c r="AH21" s="335"/>
      <c r="AI21" s="336"/>
      <c r="AJ21" s="336"/>
      <c r="AK21" s="336"/>
      <c r="AL21" s="336"/>
      <c r="AM21" s="337"/>
      <c r="AN21" s="84"/>
      <c r="AO21" s="378"/>
      <c r="AP21" s="379"/>
      <c r="AQ21" s="379"/>
      <c r="AR21" s="379"/>
      <c r="AS21" s="379"/>
      <c r="AT21" s="380"/>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361"/>
      <c r="C22" s="361"/>
      <c r="D22" s="362"/>
      <c r="E22" s="351" t="s">
        <v>119</v>
      </c>
      <c r="F22" s="352"/>
      <c r="G22" s="352"/>
      <c r="H22" s="352"/>
      <c r="I22" s="353"/>
      <c r="J22" s="329" t="str">
        <f ca="1">IF(AND('Administrativo '!$H$10="Media",'Administrativo '!$L$10="Leve"),CONCATENATE("R",'Administrativo '!$A$10),"")</f>
        <v/>
      </c>
      <c r="K22" s="330"/>
      <c r="L22" s="330" t="e">
        <f>IF(AND('Administrativo '!#REF!="Media",'Administrativo '!#REF!="Leve"),CONCATENATE("R",'Administrativo '!#REF!),"")</f>
        <v>#REF!</v>
      </c>
      <c r="M22" s="330"/>
      <c r="N22" s="330" t="e">
        <f>IF(AND('Administrativo '!#REF!="Media",'Administrativo '!#REF!="Leve"),CONCATENATE("R",'Administrativo '!#REF!),"")</f>
        <v>#REF!</v>
      </c>
      <c r="O22" s="331"/>
      <c r="P22" s="329" t="str">
        <f ca="1">IF(AND('Administrativo '!$H$10="Media",'Administrativo '!$L$10="Menor"),CONCATENATE("R",'Administrativo '!$A$10),"")</f>
        <v/>
      </c>
      <c r="Q22" s="330"/>
      <c r="R22" s="330" t="e">
        <f>IF(AND('Administrativo '!#REF!="Media",'Administrativo '!#REF!="Menor"),CONCATENATE("R",'Administrativo '!#REF!),"")</f>
        <v>#REF!</v>
      </c>
      <c r="S22" s="330"/>
      <c r="T22" s="330" t="e">
        <f>IF(AND('Administrativo '!#REF!="Media",'Administrativo '!#REF!="Menor"),CONCATENATE("R",'Administrativo '!#REF!),"")</f>
        <v>#REF!</v>
      </c>
      <c r="U22" s="331"/>
      <c r="V22" s="329" t="str">
        <f ca="1">IF(AND('Administrativo '!$H$10="Media",'Administrativo '!$L$10="Moderado"),CONCATENATE("R",'Administrativo '!$A$10),"")</f>
        <v/>
      </c>
      <c r="W22" s="330"/>
      <c r="X22" s="330" t="e">
        <f>IF(AND('Administrativo '!#REF!="Media",'Administrativo '!#REF!="Moderado"),CONCATENATE("R",'Administrativo '!#REF!),"")</f>
        <v>#REF!</v>
      </c>
      <c r="Y22" s="330"/>
      <c r="Z22" s="330" t="e">
        <f>IF(AND('Administrativo '!#REF!="Media",'Administrativo '!#REF!="Moderado"),CONCATENATE("R",'Administrativo '!#REF!),"")</f>
        <v>#REF!</v>
      </c>
      <c r="AA22" s="331"/>
      <c r="AB22" s="347" t="str">
        <f ca="1">IF(AND('Administrativo '!$H$10="Media",'Administrativo '!$L$10="Mayor"),CONCATENATE("R",'Administrativo '!$A$10),"")</f>
        <v/>
      </c>
      <c r="AC22" s="348"/>
      <c r="AD22" s="348" t="e">
        <f>IF(AND('Administrativo '!#REF!="Media",'Administrativo '!#REF!="Mayor"),CONCATENATE("R",'Administrativo '!#REF!),"")</f>
        <v>#REF!</v>
      </c>
      <c r="AE22" s="348"/>
      <c r="AF22" s="348" t="e">
        <f>IF(AND('Administrativo '!#REF!="Media",'Administrativo '!#REF!="Mayor"),CONCATENATE("R",'Administrativo '!#REF!),"")</f>
        <v>#REF!</v>
      </c>
      <c r="AG22" s="349"/>
      <c r="AH22" s="338" t="str">
        <f ca="1">IF(AND('Administrativo '!$H$10="Media",'Administrativo '!$L$10="Catastrófico"),CONCATENATE("R",'Administrativo '!$A$10),"")</f>
        <v/>
      </c>
      <c r="AI22" s="339"/>
      <c r="AJ22" s="339" t="e">
        <f>IF(AND('Administrativo '!#REF!="Media",'Administrativo '!#REF!="Catastrófico"),CONCATENATE("R",'Administrativo '!#REF!),"")</f>
        <v>#REF!</v>
      </c>
      <c r="AK22" s="339"/>
      <c r="AL22" s="339" t="e">
        <f>IF(AND('Administrativo '!#REF!="Media",'Administrativo '!#REF!="Catastrófico"),CONCATENATE("R",'Administrativo '!#REF!),"")</f>
        <v>#REF!</v>
      </c>
      <c r="AM22" s="340"/>
      <c r="AN22" s="84"/>
      <c r="AO22" s="381" t="s">
        <v>120</v>
      </c>
      <c r="AP22" s="382"/>
      <c r="AQ22" s="382"/>
      <c r="AR22" s="382"/>
      <c r="AS22" s="382"/>
      <c r="AT22" s="383"/>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361"/>
      <c r="C23" s="361"/>
      <c r="D23" s="362"/>
      <c r="E23" s="354"/>
      <c r="F23" s="355"/>
      <c r="G23" s="355"/>
      <c r="H23" s="355"/>
      <c r="I23" s="356"/>
      <c r="J23" s="323"/>
      <c r="K23" s="324"/>
      <c r="L23" s="324"/>
      <c r="M23" s="324"/>
      <c r="N23" s="324"/>
      <c r="O23" s="325"/>
      <c r="P23" s="323"/>
      <c r="Q23" s="324"/>
      <c r="R23" s="324"/>
      <c r="S23" s="324"/>
      <c r="T23" s="324"/>
      <c r="U23" s="325"/>
      <c r="V23" s="323"/>
      <c r="W23" s="324"/>
      <c r="X23" s="324"/>
      <c r="Y23" s="324"/>
      <c r="Z23" s="324"/>
      <c r="AA23" s="325"/>
      <c r="AB23" s="341"/>
      <c r="AC23" s="342"/>
      <c r="AD23" s="342"/>
      <c r="AE23" s="342"/>
      <c r="AF23" s="342"/>
      <c r="AG23" s="343"/>
      <c r="AH23" s="332"/>
      <c r="AI23" s="333"/>
      <c r="AJ23" s="333"/>
      <c r="AK23" s="333"/>
      <c r="AL23" s="333"/>
      <c r="AM23" s="334"/>
      <c r="AN23" s="84"/>
      <c r="AO23" s="384"/>
      <c r="AP23" s="385"/>
      <c r="AQ23" s="385"/>
      <c r="AR23" s="385"/>
      <c r="AS23" s="385"/>
      <c r="AT23" s="386"/>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361"/>
      <c r="C24" s="361"/>
      <c r="D24" s="362"/>
      <c r="E24" s="354"/>
      <c r="F24" s="355"/>
      <c r="G24" s="355"/>
      <c r="H24" s="355"/>
      <c r="I24" s="356"/>
      <c r="J24" s="323" t="e">
        <f>IF(AND('Administrativo '!#REF!="Media",'Administrativo '!#REF!="Leve"),CONCATENATE("R",'Administrativo '!#REF!),"")</f>
        <v>#REF!</v>
      </c>
      <c r="K24" s="324"/>
      <c r="L24" s="324" t="e">
        <f>IF(AND('Administrativo '!#REF!="Media",'Administrativo '!#REF!="Leve"),CONCATENATE("R",'Administrativo '!#REF!),"")</f>
        <v>#REF!</v>
      </c>
      <c r="M24" s="324"/>
      <c r="N24" s="324" t="e">
        <f>IF(AND('Administrativo '!#REF!="Media",'Administrativo '!#REF!="Leve"),CONCATENATE("R",'Administrativo '!#REF!),"")</f>
        <v>#REF!</v>
      </c>
      <c r="O24" s="325"/>
      <c r="P24" s="323" t="e">
        <f>IF(AND('Administrativo '!#REF!="Media",'Administrativo '!#REF!="Menor"),CONCATENATE("R",'Administrativo '!#REF!),"")</f>
        <v>#REF!</v>
      </c>
      <c r="Q24" s="324"/>
      <c r="R24" s="324" t="e">
        <f>IF(AND('Administrativo '!#REF!="Media",'Administrativo '!#REF!="Menor"),CONCATENATE("R",'Administrativo '!#REF!),"")</f>
        <v>#REF!</v>
      </c>
      <c r="S24" s="324"/>
      <c r="T24" s="324" t="e">
        <f>IF(AND('Administrativo '!#REF!="Media",'Administrativo '!#REF!="Menor"),CONCATENATE("R",'Administrativo '!#REF!),"")</f>
        <v>#REF!</v>
      </c>
      <c r="U24" s="325"/>
      <c r="V24" s="323" t="e">
        <f>IF(AND('Administrativo '!#REF!="Media",'Administrativo '!#REF!="Moderado"),CONCATENATE("R",'Administrativo '!#REF!),"")</f>
        <v>#REF!</v>
      </c>
      <c r="W24" s="324"/>
      <c r="X24" s="324" t="e">
        <f>IF(AND('Administrativo '!#REF!="Media",'Administrativo '!#REF!="Moderado"),CONCATENATE("R",'Administrativo '!#REF!),"")</f>
        <v>#REF!</v>
      </c>
      <c r="Y24" s="324"/>
      <c r="Z24" s="324" t="e">
        <f>IF(AND('Administrativo '!#REF!="Media",'Administrativo '!#REF!="Moderado"),CONCATENATE("R",'Administrativo '!#REF!),"")</f>
        <v>#REF!</v>
      </c>
      <c r="AA24" s="325"/>
      <c r="AB24" s="341" t="e">
        <f>IF(AND('Administrativo '!#REF!="Media",'Administrativo '!#REF!="Mayor"),CONCATENATE("R",'Administrativo '!#REF!),"")</f>
        <v>#REF!</v>
      </c>
      <c r="AC24" s="342"/>
      <c r="AD24" s="342" t="e">
        <f>IF(AND('Administrativo '!#REF!="Media",'Administrativo '!#REF!="Mayor"),CONCATENATE("R",'Administrativo '!#REF!),"")</f>
        <v>#REF!</v>
      </c>
      <c r="AE24" s="342"/>
      <c r="AF24" s="342" t="e">
        <f>IF(AND('Administrativo '!#REF!="Media",'Administrativo '!#REF!="Mayor"),CONCATENATE("R",'Administrativo '!#REF!),"")</f>
        <v>#REF!</v>
      </c>
      <c r="AG24" s="343"/>
      <c r="AH24" s="332" t="e">
        <f>IF(AND('Administrativo '!#REF!="Media",'Administrativo '!#REF!="Catastrófico"),CONCATENATE("R",'Administrativo '!#REF!),"")</f>
        <v>#REF!</v>
      </c>
      <c r="AI24" s="333"/>
      <c r="AJ24" s="333" t="e">
        <f>IF(AND('Administrativo '!#REF!="Media",'Administrativo '!#REF!="Catastrófico"),CONCATENATE("R",'Administrativo '!#REF!),"")</f>
        <v>#REF!</v>
      </c>
      <c r="AK24" s="333"/>
      <c r="AL24" s="333" t="e">
        <f>IF(AND('Administrativo '!#REF!="Media",'Administrativo '!#REF!="Catastrófico"),CONCATENATE("R",'Administrativo '!#REF!),"")</f>
        <v>#REF!</v>
      </c>
      <c r="AM24" s="334"/>
      <c r="AN24" s="84"/>
      <c r="AO24" s="384"/>
      <c r="AP24" s="385"/>
      <c r="AQ24" s="385"/>
      <c r="AR24" s="385"/>
      <c r="AS24" s="385"/>
      <c r="AT24" s="386"/>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361"/>
      <c r="C25" s="361"/>
      <c r="D25" s="362"/>
      <c r="E25" s="354"/>
      <c r="F25" s="355"/>
      <c r="G25" s="355"/>
      <c r="H25" s="355"/>
      <c r="I25" s="356"/>
      <c r="J25" s="323"/>
      <c r="K25" s="324"/>
      <c r="L25" s="324"/>
      <c r="M25" s="324"/>
      <c r="N25" s="324"/>
      <c r="O25" s="325"/>
      <c r="P25" s="323"/>
      <c r="Q25" s="324"/>
      <c r="R25" s="324"/>
      <c r="S25" s="324"/>
      <c r="T25" s="324"/>
      <c r="U25" s="325"/>
      <c r="V25" s="323"/>
      <c r="W25" s="324"/>
      <c r="X25" s="324"/>
      <c r="Y25" s="324"/>
      <c r="Z25" s="324"/>
      <c r="AA25" s="325"/>
      <c r="AB25" s="341"/>
      <c r="AC25" s="342"/>
      <c r="AD25" s="342"/>
      <c r="AE25" s="342"/>
      <c r="AF25" s="342"/>
      <c r="AG25" s="343"/>
      <c r="AH25" s="332"/>
      <c r="AI25" s="333"/>
      <c r="AJ25" s="333"/>
      <c r="AK25" s="333"/>
      <c r="AL25" s="333"/>
      <c r="AM25" s="334"/>
      <c r="AN25" s="84"/>
      <c r="AO25" s="384"/>
      <c r="AP25" s="385"/>
      <c r="AQ25" s="385"/>
      <c r="AR25" s="385"/>
      <c r="AS25" s="385"/>
      <c r="AT25" s="386"/>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361"/>
      <c r="C26" s="361"/>
      <c r="D26" s="362"/>
      <c r="E26" s="354"/>
      <c r="F26" s="355"/>
      <c r="G26" s="355"/>
      <c r="H26" s="355"/>
      <c r="I26" s="356"/>
      <c r="J26" s="323" t="e">
        <f>IF(AND('Administrativo '!#REF!="Media",'Administrativo '!#REF!="Leve"),CONCATENATE("R",'Administrativo '!#REF!),"")</f>
        <v>#REF!</v>
      </c>
      <c r="K26" s="324"/>
      <c r="L26" s="324" t="e">
        <f>IF(AND('Administrativo '!#REF!="Media",'Administrativo '!#REF!="Leve"),CONCATENATE("R",'Administrativo '!#REF!),"")</f>
        <v>#REF!</v>
      </c>
      <c r="M26" s="324"/>
      <c r="N26" s="324" t="e">
        <f>IF(AND('Administrativo '!#REF!="Media",'Administrativo '!#REF!="Leve"),CONCATENATE("R",'Administrativo '!#REF!),"")</f>
        <v>#REF!</v>
      </c>
      <c r="O26" s="325"/>
      <c r="P26" s="323" t="e">
        <f>IF(AND('Administrativo '!#REF!="Media",'Administrativo '!#REF!="Menor"),CONCATENATE("R",'Administrativo '!#REF!),"")</f>
        <v>#REF!</v>
      </c>
      <c r="Q26" s="324"/>
      <c r="R26" s="324" t="e">
        <f>IF(AND('Administrativo '!#REF!="Media",'Administrativo '!#REF!="Menor"),CONCATENATE("R",'Administrativo '!#REF!),"")</f>
        <v>#REF!</v>
      </c>
      <c r="S26" s="324"/>
      <c r="T26" s="324" t="e">
        <f>IF(AND('Administrativo '!#REF!="Media",'Administrativo '!#REF!="Menor"),CONCATENATE("R",'Administrativo '!#REF!),"")</f>
        <v>#REF!</v>
      </c>
      <c r="U26" s="325"/>
      <c r="V26" s="323" t="e">
        <f>IF(AND('Administrativo '!#REF!="Media",'Administrativo '!#REF!="Moderado"),CONCATENATE("R",'Administrativo '!#REF!),"")</f>
        <v>#REF!</v>
      </c>
      <c r="W26" s="324"/>
      <c r="X26" s="324" t="e">
        <f>IF(AND('Administrativo '!#REF!="Media",'Administrativo '!#REF!="Moderado"),CONCATENATE("R",'Administrativo '!#REF!),"")</f>
        <v>#REF!</v>
      </c>
      <c r="Y26" s="324"/>
      <c r="Z26" s="324" t="e">
        <f>IF(AND('Administrativo '!#REF!="Media",'Administrativo '!#REF!="Moderado"),CONCATENATE("R",'Administrativo '!#REF!),"")</f>
        <v>#REF!</v>
      </c>
      <c r="AA26" s="325"/>
      <c r="AB26" s="341" t="e">
        <f>IF(AND('Administrativo '!#REF!="Media",'Administrativo '!#REF!="Mayor"),CONCATENATE("R",'Administrativo '!#REF!),"")</f>
        <v>#REF!</v>
      </c>
      <c r="AC26" s="342"/>
      <c r="AD26" s="342" t="e">
        <f>IF(AND('Administrativo '!#REF!="Media",'Administrativo '!#REF!="Mayor"),CONCATENATE("R",'Administrativo '!#REF!),"")</f>
        <v>#REF!</v>
      </c>
      <c r="AE26" s="342"/>
      <c r="AF26" s="342" t="e">
        <f>IF(AND('Administrativo '!#REF!="Media",'Administrativo '!#REF!="Mayor"),CONCATENATE("R",'Administrativo '!#REF!),"")</f>
        <v>#REF!</v>
      </c>
      <c r="AG26" s="343"/>
      <c r="AH26" s="332" t="e">
        <f>IF(AND('Administrativo '!#REF!="Media",'Administrativo '!#REF!="Catastrófico"),CONCATENATE("R",'Administrativo '!#REF!),"")</f>
        <v>#REF!</v>
      </c>
      <c r="AI26" s="333"/>
      <c r="AJ26" s="333" t="e">
        <f>IF(AND('Administrativo '!#REF!="Media",'Administrativo '!#REF!="Catastrófico"),CONCATENATE("R",'Administrativo '!#REF!),"")</f>
        <v>#REF!</v>
      </c>
      <c r="AK26" s="333"/>
      <c r="AL26" s="333" t="e">
        <f>IF(AND('Administrativo '!#REF!="Media",'Administrativo '!#REF!="Catastrófico"),CONCATENATE("R",'Administrativo '!#REF!),"")</f>
        <v>#REF!</v>
      </c>
      <c r="AM26" s="334"/>
      <c r="AN26" s="84"/>
      <c r="AO26" s="384"/>
      <c r="AP26" s="385"/>
      <c r="AQ26" s="385"/>
      <c r="AR26" s="385"/>
      <c r="AS26" s="385"/>
      <c r="AT26" s="386"/>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361"/>
      <c r="C27" s="361"/>
      <c r="D27" s="362"/>
      <c r="E27" s="354"/>
      <c r="F27" s="355"/>
      <c r="G27" s="355"/>
      <c r="H27" s="355"/>
      <c r="I27" s="356"/>
      <c r="J27" s="323"/>
      <c r="K27" s="324"/>
      <c r="L27" s="324"/>
      <c r="M27" s="324"/>
      <c r="N27" s="324"/>
      <c r="O27" s="325"/>
      <c r="P27" s="323"/>
      <c r="Q27" s="324"/>
      <c r="R27" s="324"/>
      <c r="S27" s="324"/>
      <c r="T27" s="324"/>
      <c r="U27" s="325"/>
      <c r="V27" s="323"/>
      <c r="W27" s="324"/>
      <c r="X27" s="324"/>
      <c r="Y27" s="324"/>
      <c r="Z27" s="324"/>
      <c r="AA27" s="325"/>
      <c r="AB27" s="341"/>
      <c r="AC27" s="342"/>
      <c r="AD27" s="342"/>
      <c r="AE27" s="342"/>
      <c r="AF27" s="342"/>
      <c r="AG27" s="343"/>
      <c r="AH27" s="332"/>
      <c r="AI27" s="333"/>
      <c r="AJ27" s="333"/>
      <c r="AK27" s="333"/>
      <c r="AL27" s="333"/>
      <c r="AM27" s="334"/>
      <c r="AN27" s="84"/>
      <c r="AO27" s="384"/>
      <c r="AP27" s="385"/>
      <c r="AQ27" s="385"/>
      <c r="AR27" s="385"/>
      <c r="AS27" s="385"/>
      <c r="AT27" s="386"/>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361"/>
      <c r="C28" s="361"/>
      <c r="D28" s="362"/>
      <c r="E28" s="354"/>
      <c r="F28" s="355"/>
      <c r="G28" s="355"/>
      <c r="H28" s="355"/>
      <c r="I28" s="356"/>
      <c r="J28" s="323" t="e">
        <f>IF(AND('Administrativo '!#REF!="Media",'Administrativo '!#REF!="Leve"),CONCATENATE("R",'Administrativo '!#REF!),"")</f>
        <v>#REF!</v>
      </c>
      <c r="K28" s="324"/>
      <c r="L28" s="324" t="str">
        <f>IF(AND('Administrativo '!$H$12="Media",'Administrativo '!$L$12="Leve"),CONCATENATE("R",'Administrativo '!$A$12),"")</f>
        <v/>
      </c>
      <c r="M28" s="324"/>
      <c r="N28" s="324" t="str">
        <f>IF(AND('Administrativo '!$H$18="Media",'Administrativo '!$L$18="Leve"),CONCATENATE("R",'Administrativo '!$A$18),"")</f>
        <v/>
      </c>
      <c r="O28" s="325"/>
      <c r="P28" s="323" t="e">
        <f>IF(AND('Administrativo '!#REF!="Media",'Administrativo '!#REF!="Menor"),CONCATENATE("R",'Administrativo '!#REF!),"")</f>
        <v>#REF!</v>
      </c>
      <c r="Q28" s="324"/>
      <c r="R28" s="324" t="str">
        <f>IF(AND('Administrativo '!$H$12="Media",'Administrativo '!$L$12="Menor"),CONCATENATE("R",'Administrativo '!$A$12),"")</f>
        <v/>
      </c>
      <c r="S28" s="324"/>
      <c r="T28" s="324" t="str">
        <f>IF(AND('Administrativo '!$H$18="Media",'Administrativo '!$L$18="Menor"),CONCATENATE("R",'Administrativo '!$A$18),"")</f>
        <v/>
      </c>
      <c r="U28" s="325"/>
      <c r="V28" s="323" t="e">
        <f>IF(AND('Administrativo '!#REF!="Media",'Administrativo '!#REF!="Moderado"),CONCATENATE("R",'Administrativo '!#REF!),"")</f>
        <v>#REF!</v>
      </c>
      <c r="W28" s="324"/>
      <c r="X28" s="324" t="str">
        <f>IF(AND('Administrativo '!$H$12="Media",'Administrativo '!$L$12="Moderado"),CONCATENATE("R",'Administrativo '!$A$12),"")</f>
        <v/>
      </c>
      <c r="Y28" s="324"/>
      <c r="Z28" s="324" t="str">
        <f>IF(AND('Administrativo '!$H$18="Media",'Administrativo '!$L$18="Moderado"),CONCATENATE("R",'Administrativo '!$A$18),"")</f>
        <v/>
      </c>
      <c r="AA28" s="325"/>
      <c r="AB28" s="341" t="e">
        <f>IF(AND('Administrativo '!#REF!="Media",'Administrativo '!#REF!="Mayor"),CONCATENATE("R",'Administrativo '!#REF!),"")</f>
        <v>#REF!</v>
      </c>
      <c r="AC28" s="342"/>
      <c r="AD28" s="342" t="str">
        <f>IF(AND('Administrativo '!$H$12="Media",'Administrativo '!$L$12="Mayor"),CONCATENATE("R",'Administrativo '!$A$12),"")</f>
        <v/>
      </c>
      <c r="AE28" s="342"/>
      <c r="AF28" s="342" t="str">
        <f>IF(AND('Administrativo '!$H$18="Media",'Administrativo '!$L$18="Mayor"),CONCATENATE("R",'Administrativo '!$A$18),"")</f>
        <v/>
      </c>
      <c r="AG28" s="343"/>
      <c r="AH28" s="332" t="e">
        <f>IF(AND('Administrativo '!#REF!="Media",'Administrativo '!#REF!="Catastrófico"),CONCATENATE("R",'Administrativo '!#REF!),"")</f>
        <v>#REF!</v>
      </c>
      <c r="AI28" s="333"/>
      <c r="AJ28" s="333" t="str">
        <f>IF(AND('Administrativo '!$H$12="Media",'Administrativo '!$L$12="Catastrófico"),CONCATENATE("R",'Administrativo '!$A$12),"")</f>
        <v/>
      </c>
      <c r="AK28" s="333"/>
      <c r="AL28" s="333" t="str">
        <f>IF(AND('Administrativo '!$H$18="Media",'Administrativo '!$L$18="Catastrófico"),CONCATENATE("R",'Administrativo '!$A$18),"")</f>
        <v/>
      </c>
      <c r="AM28" s="334"/>
      <c r="AN28" s="84"/>
      <c r="AO28" s="384"/>
      <c r="AP28" s="385"/>
      <c r="AQ28" s="385"/>
      <c r="AR28" s="385"/>
      <c r="AS28" s="385"/>
      <c r="AT28" s="386"/>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361"/>
      <c r="C29" s="361"/>
      <c r="D29" s="362"/>
      <c r="E29" s="357"/>
      <c r="F29" s="358"/>
      <c r="G29" s="358"/>
      <c r="H29" s="358"/>
      <c r="I29" s="359"/>
      <c r="J29" s="323"/>
      <c r="K29" s="324"/>
      <c r="L29" s="324"/>
      <c r="M29" s="324"/>
      <c r="N29" s="324"/>
      <c r="O29" s="325"/>
      <c r="P29" s="326"/>
      <c r="Q29" s="327"/>
      <c r="R29" s="327"/>
      <c r="S29" s="327"/>
      <c r="T29" s="327"/>
      <c r="U29" s="328"/>
      <c r="V29" s="326"/>
      <c r="W29" s="327"/>
      <c r="X29" s="327"/>
      <c r="Y29" s="327"/>
      <c r="Z29" s="327"/>
      <c r="AA29" s="328"/>
      <c r="AB29" s="344"/>
      <c r="AC29" s="345"/>
      <c r="AD29" s="345"/>
      <c r="AE29" s="345"/>
      <c r="AF29" s="345"/>
      <c r="AG29" s="346"/>
      <c r="AH29" s="335"/>
      <c r="AI29" s="336"/>
      <c r="AJ29" s="336"/>
      <c r="AK29" s="336"/>
      <c r="AL29" s="336"/>
      <c r="AM29" s="337"/>
      <c r="AN29" s="84"/>
      <c r="AO29" s="387"/>
      <c r="AP29" s="388"/>
      <c r="AQ29" s="388"/>
      <c r="AR29" s="388"/>
      <c r="AS29" s="388"/>
      <c r="AT29" s="389"/>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361"/>
      <c r="C30" s="361"/>
      <c r="D30" s="362"/>
      <c r="E30" s="351" t="s">
        <v>121</v>
      </c>
      <c r="F30" s="352"/>
      <c r="G30" s="352"/>
      <c r="H30" s="352"/>
      <c r="I30" s="352"/>
      <c r="J30" s="320" t="str">
        <f ca="1">IF(AND('Administrativo '!$H$10="Baja",'Administrativo '!$L$10="Leve"),CONCATENATE("R",'Administrativo '!$A$10),"")</f>
        <v>R1</v>
      </c>
      <c r="K30" s="321"/>
      <c r="L30" s="321" t="e">
        <f>IF(AND('Administrativo '!#REF!="Baja",'Administrativo '!#REF!="Leve"),CONCATENATE("R",'Administrativo '!#REF!),"")</f>
        <v>#REF!</v>
      </c>
      <c r="M30" s="321"/>
      <c r="N30" s="321" t="e">
        <f>IF(AND('Administrativo '!#REF!="Baja",'Administrativo '!#REF!="Leve"),CONCATENATE("R",'Administrativo '!#REF!),"")</f>
        <v>#REF!</v>
      </c>
      <c r="O30" s="322"/>
      <c r="P30" s="330" t="str">
        <f ca="1">IF(AND('Administrativo '!$H$10="Baja",'Administrativo '!$L$10="Menor"),CONCATENATE("R",'Administrativo '!$A$10),"")</f>
        <v/>
      </c>
      <c r="Q30" s="330"/>
      <c r="R30" s="330" t="e">
        <f>IF(AND('Administrativo '!#REF!="Baja",'Administrativo '!#REF!="Menor"),CONCATENATE("R",'Administrativo '!#REF!),"")</f>
        <v>#REF!</v>
      </c>
      <c r="S30" s="330"/>
      <c r="T30" s="330" t="e">
        <f>IF(AND('Administrativo '!#REF!="Baja",'Administrativo '!#REF!="Menor"),CONCATENATE("R",'Administrativo '!#REF!),"")</f>
        <v>#REF!</v>
      </c>
      <c r="U30" s="331"/>
      <c r="V30" s="329" t="str">
        <f ca="1">IF(AND('Administrativo '!$H$10="Baja",'Administrativo '!$L$10="Moderado"),CONCATENATE("R",'Administrativo '!$A$10),"")</f>
        <v/>
      </c>
      <c r="W30" s="330"/>
      <c r="X30" s="330" t="e">
        <f>IF(AND('Administrativo '!#REF!="Baja",'Administrativo '!#REF!="Moderado"),CONCATENATE("R",'Administrativo '!#REF!),"")</f>
        <v>#REF!</v>
      </c>
      <c r="Y30" s="330"/>
      <c r="Z30" s="330" t="e">
        <f>IF(AND('Administrativo '!#REF!="Baja",'Administrativo '!#REF!="Moderado"),CONCATENATE("R",'Administrativo '!#REF!),"")</f>
        <v>#REF!</v>
      </c>
      <c r="AA30" s="331"/>
      <c r="AB30" s="347" t="str">
        <f ca="1">IF(AND('Administrativo '!$H$10="Baja",'Administrativo '!$L$10="Mayor"),CONCATENATE("R",'Administrativo '!$A$10),"")</f>
        <v/>
      </c>
      <c r="AC30" s="348"/>
      <c r="AD30" s="348" t="e">
        <f>IF(AND('Administrativo '!#REF!="Baja",'Administrativo '!#REF!="Mayor"),CONCATENATE("R",'Administrativo '!#REF!),"")</f>
        <v>#REF!</v>
      </c>
      <c r="AE30" s="348"/>
      <c r="AF30" s="348" t="e">
        <f>IF(AND('Administrativo '!#REF!="Baja",'Administrativo '!#REF!="Mayor"),CONCATENATE("R",'Administrativo '!#REF!),"")</f>
        <v>#REF!</v>
      </c>
      <c r="AG30" s="349"/>
      <c r="AH30" s="338" t="str">
        <f ca="1">IF(AND('Administrativo '!$H$10="Baja",'Administrativo '!$L$10="Catastrófico"),CONCATENATE("R",'Administrativo '!$A$10),"")</f>
        <v/>
      </c>
      <c r="AI30" s="339"/>
      <c r="AJ30" s="339" t="e">
        <f>IF(AND('Administrativo '!#REF!="Baja",'Administrativo '!#REF!="Catastrófico"),CONCATENATE("R",'Administrativo '!#REF!),"")</f>
        <v>#REF!</v>
      </c>
      <c r="AK30" s="339"/>
      <c r="AL30" s="339" t="e">
        <f>IF(AND('Administrativo '!#REF!="Baja",'Administrativo '!#REF!="Catastrófico"),CONCATENATE("R",'Administrativo '!#REF!),"")</f>
        <v>#REF!</v>
      </c>
      <c r="AM30" s="340"/>
      <c r="AN30" s="84"/>
      <c r="AO30" s="390" t="s">
        <v>122</v>
      </c>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361"/>
      <c r="C31" s="361"/>
      <c r="D31" s="362"/>
      <c r="E31" s="354"/>
      <c r="F31" s="355"/>
      <c r="G31" s="355"/>
      <c r="H31" s="355"/>
      <c r="I31" s="355"/>
      <c r="J31" s="314"/>
      <c r="K31" s="315"/>
      <c r="L31" s="315"/>
      <c r="M31" s="315"/>
      <c r="N31" s="315"/>
      <c r="O31" s="316"/>
      <c r="P31" s="324"/>
      <c r="Q31" s="324"/>
      <c r="R31" s="324"/>
      <c r="S31" s="324"/>
      <c r="T31" s="324"/>
      <c r="U31" s="325"/>
      <c r="V31" s="323"/>
      <c r="W31" s="324"/>
      <c r="X31" s="324"/>
      <c r="Y31" s="324"/>
      <c r="Z31" s="324"/>
      <c r="AA31" s="325"/>
      <c r="AB31" s="341"/>
      <c r="AC31" s="342"/>
      <c r="AD31" s="342"/>
      <c r="AE31" s="342"/>
      <c r="AF31" s="342"/>
      <c r="AG31" s="343"/>
      <c r="AH31" s="332"/>
      <c r="AI31" s="333"/>
      <c r="AJ31" s="333"/>
      <c r="AK31" s="333"/>
      <c r="AL31" s="333"/>
      <c r="AM31" s="334"/>
      <c r="AN31" s="84"/>
      <c r="AO31" s="393"/>
      <c r="AP31" s="394"/>
      <c r="AQ31" s="394"/>
      <c r="AR31" s="394"/>
      <c r="AS31" s="394"/>
      <c r="AT31" s="395"/>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361"/>
      <c r="C32" s="361"/>
      <c r="D32" s="362"/>
      <c r="E32" s="354"/>
      <c r="F32" s="355"/>
      <c r="G32" s="355"/>
      <c r="H32" s="355"/>
      <c r="I32" s="355"/>
      <c r="J32" s="314" t="e">
        <f>IF(AND('Administrativo '!#REF!="Baja",'Administrativo '!#REF!="Leve"),CONCATENATE("R",'Administrativo '!#REF!),"")</f>
        <v>#REF!</v>
      </c>
      <c r="K32" s="315"/>
      <c r="L32" s="315" t="e">
        <f>IF(AND('Administrativo '!#REF!="Baja",'Administrativo '!#REF!="Leve"),CONCATENATE("R",'Administrativo '!#REF!),"")</f>
        <v>#REF!</v>
      </c>
      <c r="M32" s="315"/>
      <c r="N32" s="315" t="e">
        <f>IF(AND('Administrativo '!#REF!="Baja",'Administrativo '!#REF!="Leve"),CONCATENATE("R",'Administrativo '!#REF!),"")</f>
        <v>#REF!</v>
      </c>
      <c r="O32" s="316"/>
      <c r="P32" s="324" t="e">
        <f>IF(AND('Administrativo '!#REF!="Baja",'Administrativo '!#REF!="Menor"),CONCATENATE("R",'Administrativo '!#REF!),"")</f>
        <v>#REF!</v>
      </c>
      <c r="Q32" s="324"/>
      <c r="R32" s="324" t="e">
        <f>IF(AND('Administrativo '!#REF!="Baja",'Administrativo '!#REF!="Menor"),CONCATENATE("R",'Administrativo '!#REF!),"")</f>
        <v>#REF!</v>
      </c>
      <c r="S32" s="324"/>
      <c r="T32" s="324" t="e">
        <f>IF(AND('Administrativo '!#REF!="Baja",'Administrativo '!#REF!="Menor"),CONCATENATE("R",'Administrativo '!#REF!),"")</f>
        <v>#REF!</v>
      </c>
      <c r="U32" s="325"/>
      <c r="V32" s="323" t="e">
        <f>IF(AND('Administrativo '!#REF!="Baja",'Administrativo '!#REF!="Moderado"),CONCATENATE("R",'Administrativo '!#REF!),"")</f>
        <v>#REF!</v>
      </c>
      <c r="W32" s="324"/>
      <c r="X32" s="324" t="e">
        <f>IF(AND('Administrativo '!#REF!="Baja",'Administrativo '!#REF!="Moderado"),CONCATENATE("R",'Administrativo '!#REF!),"")</f>
        <v>#REF!</v>
      </c>
      <c r="Y32" s="324"/>
      <c r="Z32" s="324" t="e">
        <f>IF(AND('Administrativo '!#REF!="Baja",'Administrativo '!#REF!="Moderado"),CONCATENATE("R",'Administrativo '!#REF!),"")</f>
        <v>#REF!</v>
      </c>
      <c r="AA32" s="325"/>
      <c r="AB32" s="341" t="e">
        <f>IF(AND('Administrativo '!#REF!="Baja",'Administrativo '!#REF!="Mayor"),CONCATENATE("R",'Administrativo '!#REF!),"")</f>
        <v>#REF!</v>
      </c>
      <c r="AC32" s="342"/>
      <c r="AD32" s="342" t="e">
        <f>IF(AND('Administrativo '!#REF!="Baja",'Administrativo '!#REF!="Mayor"),CONCATENATE("R",'Administrativo '!#REF!),"")</f>
        <v>#REF!</v>
      </c>
      <c r="AE32" s="342"/>
      <c r="AF32" s="342" t="e">
        <f>IF(AND('Administrativo '!#REF!="Baja",'Administrativo '!#REF!="Mayor"),CONCATENATE("R",'Administrativo '!#REF!),"")</f>
        <v>#REF!</v>
      </c>
      <c r="AG32" s="343"/>
      <c r="AH32" s="332" t="e">
        <f>IF(AND('Administrativo '!#REF!="Baja",'Administrativo '!#REF!="Catastrófico"),CONCATENATE("R",'Administrativo '!#REF!),"")</f>
        <v>#REF!</v>
      </c>
      <c r="AI32" s="333"/>
      <c r="AJ32" s="333" t="e">
        <f>IF(AND('Administrativo '!#REF!="Baja",'Administrativo '!#REF!="Catastrófico"),CONCATENATE("R",'Administrativo '!#REF!),"")</f>
        <v>#REF!</v>
      </c>
      <c r="AK32" s="333"/>
      <c r="AL32" s="333" t="e">
        <f>IF(AND('Administrativo '!#REF!="Baja",'Administrativo '!#REF!="Catastrófico"),CONCATENATE("R",'Administrativo '!#REF!),"")</f>
        <v>#REF!</v>
      </c>
      <c r="AM32" s="334"/>
      <c r="AN32" s="84"/>
      <c r="AO32" s="393"/>
      <c r="AP32" s="394"/>
      <c r="AQ32" s="394"/>
      <c r="AR32" s="394"/>
      <c r="AS32" s="394"/>
      <c r="AT32" s="395"/>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361"/>
      <c r="C33" s="361"/>
      <c r="D33" s="362"/>
      <c r="E33" s="354"/>
      <c r="F33" s="355"/>
      <c r="G33" s="355"/>
      <c r="H33" s="355"/>
      <c r="I33" s="355"/>
      <c r="J33" s="314"/>
      <c r="K33" s="315"/>
      <c r="L33" s="315"/>
      <c r="M33" s="315"/>
      <c r="N33" s="315"/>
      <c r="O33" s="316"/>
      <c r="P33" s="324"/>
      <c r="Q33" s="324"/>
      <c r="R33" s="324"/>
      <c r="S33" s="324"/>
      <c r="T33" s="324"/>
      <c r="U33" s="325"/>
      <c r="V33" s="323"/>
      <c r="W33" s="324"/>
      <c r="X33" s="324"/>
      <c r="Y33" s="324"/>
      <c r="Z33" s="324"/>
      <c r="AA33" s="325"/>
      <c r="AB33" s="341"/>
      <c r="AC33" s="342"/>
      <c r="AD33" s="342"/>
      <c r="AE33" s="342"/>
      <c r="AF33" s="342"/>
      <c r="AG33" s="343"/>
      <c r="AH33" s="332"/>
      <c r="AI33" s="333"/>
      <c r="AJ33" s="333"/>
      <c r="AK33" s="333"/>
      <c r="AL33" s="333"/>
      <c r="AM33" s="334"/>
      <c r="AN33" s="84"/>
      <c r="AO33" s="393"/>
      <c r="AP33" s="394"/>
      <c r="AQ33" s="394"/>
      <c r="AR33" s="394"/>
      <c r="AS33" s="394"/>
      <c r="AT33" s="395"/>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361"/>
      <c r="C34" s="361"/>
      <c r="D34" s="362"/>
      <c r="E34" s="354"/>
      <c r="F34" s="355"/>
      <c r="G34" s="355"/>
      <c r="H34" s="355"/>
      <c r="I34" s="355"/>
      <c r="J34" s="314" t="e">
        <f>IF(AND('Administrativo '!#REF!="Baja",'Administrativo '!#REF!="Leve"),CONCATENATE("R",'Administrativo '!#REF!),"")</f>
        <v>#REF!</v>
      </c>
      <c r="K34" s="315"/>
      <c r="L34" s="315" t="e">
        <f>IF(AND('Administrativo '!#REF!="Baja",'Administrativo '!#REF!="Leve"),CONCATENATE("R",'Administrativo '!#REF!),"")</f>
        <v>#REF!</v>
      </c>
      <c r="M34" s="315"/>
      <c r="N34" s="315" t="e">
        <f>IF(AND('Administrativo '!#REF!="Baja",'Administrativo '!#REF!="Leve"),CONCATENATE("R",'Administrativo '!#REF!),"")</f>
        <v>#REF!</v>
      </c>
      <c r="O34" s="316"/>
      <c r="P34" s="324" t="e">
        <f>IF(AND('Administrativo '!#REF!="Baja",'Administrativo '!#REF!="Menor"),CONCATENATE("R",'Administrativo '!#REF!),"")</f>
        <v>#REF!</v>
      </c>
      <c r="Q34" s="324"/>
      <c r="R34" s="324" t="e">
        <f>IF(AND('Administrativo '!#REF!="Baja",'Administrativo '!#REF!="Menor"),CONCATENATE("R",'Administrativo '!#REF!),"")</f>
        <v>#REF!</v>
      </c>
      <c r="S34" s="324"/>
      <c r="T34" s="324" t="e">
        <f>IF(AND('Administrativo '!#REF!="Baja",'Administrativo '!#REF!="Menor"),CONCATENATE("R",'Administrativo '!#REF!),"")</f>
        <v>#REF!</v>
      </c>
      <c r="U34" s="325"/>
      <c r="V34" s="323" t="e">
        <f>IF(AND('Administrativo '!#REF!="Baja",'Administrativo '!#REF!="Moderado"),CONCATENATE("R",'Administrativo '!#REF!),"")</f>
        <v>#REF!</v>
      </c>
      <c r="W34" s="324"/>
      <c r="X34" s="324" t="e">
        <f>IF(AND('Administrativo '!#REF!="Baja",'Administrativo '!#REF!="Moderado"),CONCATENATE("R",'Administrativo '!#REF!),"")</f>
        <v>#REF!</v>
      </c>
      <c r="Y34" s="324"/>
      <c r="Z34" s="324" t="e">
        <f>IF(AND('Administrativo '!#REF!="Baja",'Administrativo '!#REF!="Moderado"),CONCATENATE("R",'Administrativo '!#REF!),"")</f>
        <v>#REF!</v>
      </c>
      <c r="AA34" s="325"/>
      <c r="AB34" s="341" t="e">
        <f>IF(AND('Administrativo '!#REF!="Baja",'Administrativo '!#REF!="Mayor"),CONCATENATE("R",'Administrativo '!#REF!),"")</f>
        <v>#REF!</v>
      </c>
      <c r="AC34" s="342"/>
      <c r="AD34" s="342" t="e">
        <f>IF(AND('Administrativo '!#REF!="Baja",'Administrativo '!#REF!="Mayor"),CONCATENATE("R",'Administrativo '!#REF!),"")</f>
        <v>#REF!</v>
      </c>
      <c r="AE34" s="342"/>
      <c r="AF34" s="342" t="e">
        <f>IF(AND('Administrativo '!#REF!="Baja",'Administrativo '!#REF!="Mayor"),CONCATENATE("R",'Administrativo '!#REF!),"")</f>
        <v>#REF!</v>
      </c>
      <c r="AG34" s="343"/>
      <c r="AH34" s="332" t="e">
        <f>IF(AND('Administrativo '!#REF!="Baja",'Administrativo '!#REF!="Catastrófico"),CONCATENATE("R",'Administrativo '!#REF!),"")</f>
        <v>#REF!</v>
      </c>
      <c r="AI34" s="333"/>
      <c r="AJ34" s="333" t="e">
        <f>IF(AND('Administrativo '!#REF!="Baja",'Administrativo '!#REF!="Catastrófico"),CONCATENATE("R",'Administrativo '!#REF!),"")</f>
        <v>#REF!</v>
      </c>
      <c r="AK34" s="333"/>
      <c r="AL34" s="333" t="e">
        <f>IF(AND('Administrativo '!#REF!="Baja",'Administrativo '!#REF!="Catastrófico"),CONCATENATE("R",'Administrativo '!#REF!),"")</f>
        <v>#REF!</v>
      </c>
      <c r="AM34" s="334"/>
      <c r="AN34" s="84"/>
      <c r="AO34" s="393"/>
      <c r="AP34" s="394"/>
      <c r="AQ34" s="394"/>
      <c r="AR34" s="394"/>
      <c r="AS34" s="394"/>
      <c r="AT34" s="395"/>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361"/>
      <c r="C35" s="361"/>
      <c r="D35" s="362"/>
      <c r="E35" s="354"/>
      <c r="F35" s="355"/>
      <c r="G35" s="355"/>
      <c r="H35" s="355"/>
      <c r="I35" s="355"/>
      <c r="J35" s="314"/>
      <c r="K35" s="315"/>
      <c r="L35" s="315"/>
      <c r="M35" s="315"/>
      <c r="N35" s="315"/>
      <c r="O35" s="316"/>
      <c r="P35" s="324"/>
      <c r="Q35" s="324"/>
      <c r="R35" s="324"/>
      <c r="S35" s="324"/>
      <c r="T35" s="324"/>
      <c r="U35" s="325"/>
      <c r="V35" s="323"/>
      <c r="W35" s="324"/>
      <c r="X35" s="324"/>
      <c r="Y35" s="324"/>
      <c r="Z35" s="324"/>
      <c r="AA35" s="325"/>
      <c r="AB35" s="341"/>
      <c r="AC35" s="342"/>
      <c r="AD35" s="342"/>
      <c r="AE35" s="342"/>
      <c r="AF35" s="342"/>
      <c r="AG35" s="343"/>
      <c r="AH35" s="332"/>
      <c r="AI35" s="333"/>
      <c r="AJ35" s="333"/>
      <c r="AK35" s="333"/>
      <c r="AL35" s="333"/>
      <c r="AM35" s="334"/>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361"/>
      <c r="C36" s="361"/>
      <c r="D36" s="362"/>
      <c r="E36" s="354"/>
      <c r="F36" s="355"/>
      <c r="G36" s="355"/>
      <c r="H36" s="355"/>
      <c r="I36" s="355"/>
      <c r="J36" s="314" t="e">
        <f>IF(AND('Administrativo '!#REF!="Baja",'Administrativo '!#REF!="Leve"),CONCATENATE("R",'Administrativo '!#REF!),"")</f>
        <v>#REF!</v>
      </c>
      <c r="K36" s="315"/>
      <c r="L36" s="315" t="str">
        <f>IF(AND('Administrativo '!$H$12="Baja",'Administrativo '!$L$12="Leve"),CONCATENATE("R",'Administrativo '!$A$12),"")</f>
        <v/>
      </c>
      <c r="M36" s="315"/>
      <c r="N36" s="315" t="str">
        <f>IF(AND('Administrativo '!$H$18="Baja",'Administrativo '!$L$18="Leve"),CONCATENATE("R",'Administrativo '!$A$18),"")</f>
        <v/>
      </c>
      <c r="O36" s="316"/>
      <c r="P36" s="324" t="e">
        <f>IF(AND('Administrativo '!#REF!="Baja",'Administrativo '!#REF!="Menor"),CONCATENATE("R",'Administrativo '!#REF!),"")</f>
        <v>#REF!</v>
      </c>
      <c r="Q36" s="324"/>
      <c r="R36" s="324" t="str">
        <f>IF(AND('Administrativo '!$H$12="Baja",'Administrativo '!$L$12="Menor"),CONCATENATE("R",'Administrativo '!$A$12),"")</f>
        <v/>
      </c>
      <c r="S36" s="324"/>
      <c r="T36" s="324" t="str">
        <f>IF(AND('Administrativo '!$H$18="Baja",'Administrativo '!$L$18="Menor"),CONCATENATE("R",'Administrativo '!$A$18),"")</f>
        <v/>
      </c>
      <c r="U36" s="325"/>
      <c r="V36" s="323" t="e">
        <f>IF(AND('Administrativo '!#REF!="Baja",'Administrativo '!#REF!="Moderado"),CONCATENATE("R",'Administrativo '!#REF!),"")</f>
        <v>#REF!</v>
      </c>
      <c r="W36" s="324"/>
      <c r="X36" s="324" t="str">
        <f>IF(AND('Administrativo '!$H$12="Baja",'Administrativo '!$L$12="Moderado"),CONCATENATE("R",'Administrativo '!$A$12),"")</f>
        <v/>
      </c>
      <c r="Y36" s="324"/>
      <c r="Z36" s="324" t="str">
        <f>IF(AND('Administrativo '!$H$18="Baja",'Administrativo '!$L$18="Moderado"),CONCATENATE("R",'Administrativo '!$A$18),"")</f>
        <v/>
      </c>
      <c r="AA36" s="325"/>
      <c r="AB36" s="341" t="e">
        <f>IF(AND('Administrativo '!#REF!="Baja",'Administrativo '!#REF!="Mayor"),CONCATENATE("R",'Administrativo '!#REF!),"")</f>
        <v>#REF!</v>
      </c>
      <c r="AC36" s="342"/>
      <c r="AD36" s="342" t="str">
        <f>IF(AND('Administrativo '!$H$12="Baja",'Administrativo '!$L$12="Mayor"),CONCATENATE("R",'Administrativo '!$A$12),"")</f>
        <v/>
      </c>
      <c r="AE36" s="342"/>
      <c r="AF36" s="342" t="str">
        <f>IF(AND('Administrativo '!$H$18="Baja",'Administrativo '!$L$18="Mayor"),CONCATENATE("R",'Administrativo '!$A$18),"")</f>
        <v/>
      </c>
      <c r="AG36" s="343"/>
      <c r="AH36" s="332" t="e">
        <f>IF(AND('Administrativo '!#REF!="Baja",'Administrativo '!#REF!="Catastrófico"),CONCATENATE("R",'Administrativo '!#REF!),"")</f>
        <v>#REF!</v>
      </c>
      <c r="AI36" s="333"/>
      <c r="AJ36" s="333" t="str">
        <f>IF(AND('Administrativo '!$H$12="Baja",'Administrativo '!$L$12="Catastrófico"),CONCATENATE("R",'Administrativo '!$A$12),"")</f>
        <v/>
      </c>
      <c r="AK36" s="333"/>
      <c r="AL36" s="333" t="str">
        <f>IF(AND('Administrativo '!$H$18="Baja",'Administrativo '!$L$18="Catastrófico"),CONCATENATE("R",'Administrativo '!$A$18),"")</f>
        <v/>
      </c>
      <c r="AM36" s="334"/>
      <c r="AN36" s="84"/>
      <c r="AO36" s="393"/>
      <c r="AP36" s="394"/>
      <c r="AQ36" s="394"/>
      <c r="AR36" s="394"/>
      <c r="AS36" s="394"/>
      <c r="AT36" s="395"/>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361"/>
      <c r="C37" s="361"/>
      <c r="D37" s="362"/>
      <c r="E37" s="357"/>
      <c r="F37" s="358"/>
      <c r="G37" s="358"/>
      <c r="H37" s="358"/>
      <c r="I37" s="358"/>
      <c r="J37" s="317"/>
      <c r="K37" s="318"/>
      <c r="L37" s="318"/>
      <c r="M37" s="318"/>
      <c r="N37" s="318"/>
      <c r="O37" s="319"/>
      <c r="P37" s="327"/>
      <c r="Q37" s="327"/>
      <c r="R37" s="327"/>
      <c r="S37" s="327"/>
      <c r="T37" s="327"/>
      <c r="U37" s="328"/>
      <c r="V37" s="326"/>
      <c r="W37" s="327"/>
      <c r="X37" s="327"/>
      <c r="Y37" s="327"/>
      <c r="Z37" s="327"/>
      <c r="AA37" s="328"/>
      <c r="AB37" s="344"/>
      <c r="AC37" s="345"/>
      <c r="AD37" s="345"/>
      <c r="AE37" s="345"/>
      <c r="AF37" s="345"/>
      <c r="AG37" s="346"/>
      <c r="AH37" s="335"/>
      <c r="AI37" s="336"/>
      <c r="AJ37" s="336"/>
      <c r="AK37" s="336"/>
      <c r="AL37" s="336"/>
      <c r="AM37" s="337"/>
      <c r="AN37" s="84"/>
      <c r="AO37" s="396"/>
      <c r="AP37" s="397"/>
      <c r="AQ37" s="397"/>
      <c r="AR37" s="397"/>
      <c r="AS37" s="397"/>
      <c r="AT37" s="398"/>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361"/>
      <c r="C38" s="361"/>
      <c r="D38" s="362"/>
      <c r="E38" s="351" t="s">
        <v>123</v>
      </c>
      <c r="F38" s="352"/>
      <c r="G38" s="352"/>
      <c r="H38" s="352"/>
      <c r="I38" s="353"/>
      <c r="J38" s="320" t="str">
        <f ca="1">IF(AND('Administrativo '!$H$10="Muy Baja",'Administrativo '!$L$10="Leve"),CONCATENATE("R",'Administrativo '!$A$10),"")</f>
        <v/>
      </c>
      <c r="K38" s="321"/>
      <c r="L38" s="321" t="e">
        <f>IF(AND('Administrativo '!#REF!="Muy Baja",'Administrativo '!#REF!="Leve"),CONCATENATE("R",'Administrativo '!#REF!),"")</f>
        <v>#REF!</v>
      </c>
      <c r="M38" s="321"/>
      <c r="N38" s="321" t="e">
        <f>IF(AND('Administrativo '!#REF!="Muy Baja",'Administrativo '!#REF!="Leve"),CONCATENATE("R",'Administrativo '!#REF!),"")</f>
        <v>#REF!</v>
      </c>
      <c r="O38" s="322"/>
      <c r="P38" s="320" t="str">
        <f ca="1">IF(AND('Administrativo '!$H$10="Muy Baja",'Administrativo '!$L$10="Menor"),CONCATENATE("R",'Administrativo '!$A$10),"")</f>
        <v/>
      </c>
      <c r="Q38" s="321"/>
      <c r="R38" s="321" t="e">
        <f>IF(AND('Administrativo '!#REF!="Muy Baja",'Administrativo '!#REF!="Menor"),CONCATENATE("R",'Administrativo '!#REF!),"")</f>
        <v>#REF!</v>
      </c>
      <c r="S38" s="321"/>
      <c r="T38" s="321" t="e">
        <f>IF(AND('Administrativo '!#REF!="Muy Baja",'Administrativo '!#REF!="Menor"),CONCATENATE("R",'Administrativo '!#REF!),"")</f>
        <v>#REF!</v>
      </c>
      <c r="U38" s="322"/>
      <c r="V38" s="329" t="str">
        <f ca="1">IF(AND('Administrativo '!$H$10="Muy Baja",'Administrativo '!$L$10="Moderado"),CONCATENATE("R",'Administrativo '!$A$10),"")</f>
        <v/>
      </c>
      <c r="W38" s="330"/>
      <c r="X38" s="330" t="e">
        <f>IF(AND('Administrativo '!#REF!="Muy Baja",'Administrativo '!#REF!="Moderado"),CONCATENATE("R",'Administrativo '!#REF!),"")</f>
        <v>#REF!</v>
      </c>
      <c r="Y38" s="330"/>
      <c r="Z38" s="330" t="e">
        <f>IF(AND('Administrativo '!#REF!="Muy Baja",'Administrativo '!#REF!="Moderado"),CONCATENATE("R",'Administrativo '!#REF!),"")</f>
        <v>#REF!</v>
      </c>
      <c r="AA38" s="331"/>
      <c r="AB38" s="347" t="str">
        <f ca="1">IF(AND('Administrativo '!$H$10="Muy Baja",'Administrativo '!$L$10="Mayor"),CONCATENATE("R",'Administrativo '!$A$10),"")</f>
        <v/>
      </c>
      <c r="AC38" s="348"/>
      <c r="AD38" s="348" t="e">
        <f>IF(AND('Administrativo '!#REF!="Muy Baja",'Administrativo '!#REF!="Mayor"),CONCATENATE("R",'Administrativo '!#REF!),"")</f>
        <v>#REF!</v>
      </c>
      <c r="AE38" s="348"/>
      <c r="AF38" s="348" t="e">
        <f>IF(AND('Administrativo '!#REF!="Muy Baja",'Administrativo '!#REF!="Mayor"),CONCATENATE("R",'Administrativo '!#REF!),"")</f>
        <v>#REF!</v>
      </c>
      <c r="AG38" s="349"/>
      <c r="AH38" s="338" t="str">
        <f ca="1">IF(AND('Administrativo '!$H$10="Muy Baja",'Administrativo '!$L$10="Catastrófico"),CONCATENATE("R",'Administrativo '!$A$10),"")</f>
        <v/>
      </c>
      <c r="AI38" s="339"/>
      <c r="AJ38" s="339" t="e">
        <f>IF(AND('Administrativo '!#REF!="Muy Baja",'Administrativo '!#REF!="Catastrófico"),CONCATENATE("R",'Administrativo '!#REF!),"")</f>
        <v>#REF!</v>
      </c>
      <c r="AK38" s="339"/>
      <c r="AL38" s="339" t="e">
        <f>IF(AND('Administrativo '!#REF!="Muy Baja",'Administrativo '!#REF!="Catastrófico"),CONCATENATE("R",'Administrativo '!#REF!),"")</f>
        <v>#REF!</v>
      </c>
      <c r="AM38" s="340"/>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361"/>
      <c r="C39" s="361"/>
      <c r="D39" s="362"/>
      <c r="E39" s="354"/>
      <c r="F39" s="355"/>
      <c r="G39" s="355"/>
      <c r="H39" s="355"/>
      <c r="I39" s="356"/>
      <c r="J39" s="314"/>
      <c r="K39" s="315"/>
      <c r="L39" s="315"/>
      <c r="M39" s="315"/>
      <c r="N39" s="315"/>
      <c r="O39" s="316"/>
      <c r="P39" s="314"/>
      <c r="Q39" s="315"/>
      <c r="R39" s="315"/>
      <c r="S39" s="315"/>
      <c r="T39" s="315"/>
      <c r="U39" s="316"/>
      <c r="V39" s="323"/>
      <c r="W39" s="324"/>
      <c r="X39" s="324"/>
      <c r="Y39" s="324"/>
      <c r="Z39" s="324"/>
      <c r="AA39" s="325"/>
      <c r="AB39" s="341"/>
      <c r="AC39" s="342"/>
      <c r="AD39" s="342"/>
      <c r="AE39" s="342"/>
      <c r="AF39" s="342"/>
      <c r="AG39" s="343"/>
      <c r="AH39" s="332"/>
      <c r="AI39" s="333"/>
      <c r="AJ39" s="333"/>
      <c r="AK39" s="333"/>
      <c r="AL39" s="333"/>
      <c r="AM39" s="33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361"/>
      <c r="C40" s="361"/>
      <c r="D40" s="362"/>
      <c r="E40" s="354"/>
      <c r="F40" s="355"/>
      <c r="G40" s="355"/>
      <c r="H40" s="355"/>
      <c r="I40" s="356"/>
      <c r="J40" s="314" t="e">
        <f>IF(AND('Administrativo '!#REF!="Muy Baja",'Administrativo '!#REF!="Leve"),CONCATENATE("R",'Administrativo '!#REF!),"")</f>
        <v>#REF!</v>
      </c>
      <c r="K40" s="315"/>
      <c r="L40" s="315" t="e">
        <f>IF(AND('Administrativo '!#REF!="Muy Baja",'Administrativo '!#REF!="Leve"),CONCATENATE("R",'Administrativo '!#REF!),"")</f>
        <v>#REF!</v>
      </c>
      <c r="M40" s="315"/>
      <c r="N40" s="315" t="e">
        <f>IF(AND('Administrativo '!#REF!="Muy Baja",'Administrativo '!#REF!="Leve"),CONCATENATE("R",'Administrativo '!#REF!),"")</f>
        <v>#REF!</v>
      </c>
      <c r="O40" s="316"/>
      <c r="P40" s="314" t="e">
        <f>IF(AND('Administrativo '!#REF!="Muy Baja",'Administrativo '!#REF!="Menor"),CONCATENATE("R",'Administrativo '!#REF!),"")</f>
        <v>#REF!</v>
      </c>
      <c r="Q40" s="315"/>
      <c r="R40" s="315" t="e">
        <f>IF(AND('Administrativo '!#REF!="Muy Baja",'Administrativo '!#REF!="Menor"),CONCATENATE("R",'Administrativo '!#REF!),"")</f>
        <v>#REF!</v>
      </c>
      <c r="S40" s="315"/>
      <c r="T40" s="315" t="e">
        <f>IF(AND('Administrativo '!#REF!="Muy Baja",'Administrativo '!#REF!="Menor"),CONCATENATE("R",'Administrativo '!#REF!),"")</f>
        <v>#REF!</v>
      </c>
      <c r="U40" s="316"/>
      <c r="V40" s="323" t="e">
        <f>IF(AND('Administrativo '!#REF!="Muy Baja",'Administrativo '!#REF!="Moderado"),CONCATENATE("R",'Administrativo '!#REF!),"")</f>
        <v>#REF!</v>
      </c>
      <c r="W40" s="324"/>
      <c r="X40" s="324" t="e">
        <f>IF(AND('Administrativo '!#REF!="Muy Baja",'Administrativo '!#REF!="Moderado"),CONCATENATE("R",'Administrativo '!#REF!),"")</f>
        <v>#REF!</v>
      </c>
      <c r="Y40" s="324"/>
      <c r="Z40" s="324" t="e">
        <f>IF(AND('Administrativo '!#REF!="Muy Baja",'Administrativo '!#REF!="Moderado"),CONCATENATE("R",'Administrativo '!#REF!),"")</f>
        <v>#REF!</v>
      </c>
      <c r="AA40" s="325"/>
      <c r="AB40" s="341" t="e">
        <f>IF(AND('Administrativo '!#REF!="Muy Baja",'Administrativo '!#REF!="Mayor"),CONCATENATE("R",'Administrativo '!#REF!),"")</f>
        <v>#REF!</v>
      </c>
      <c r="AC40" s="342"/>
      <c r="AD40" s="342" t="e">
        <f>IF(AND('Administrativo '!#REF!="Muy Baja",'Administrativo '!#REF!="Mayor"),CONCATENATE("R",'Administrativo '!#REF!),"")</f>
        <v>#REF!</v>
      </c>
      <c r="AE40" s="342"/>
      <c r="AF40" s="342" t="e">
        <f>IF(AND('Administrativo '!#REF!="Muy Baja",'Administrativo '!#REF!="Mayor"),CONCATENATE("R",'Administrativo '!#REF!),"")</f>
        <v>#REF!</v>
      </c>
      <c r="AG40" s="343"/>
      <c r="AH40" s="332" t="e">
        <f>IF(AND('Administrativo '!#REF!="Muy Baja",'Administrativo '!#REF!="Catastrófico"),CONCATENATE("R",'Administrativo '!#REF!),"")</f>
        <v>#REF!</v>
      </c>
      <c r="AI40" s="333"/>
      <c r="AJ40" s="333" t="e">
        <f>IF(AND('Administrativo '!#REF!="Muy Baja",'Administrativo '!#REF!="Catastrófico"),CONCATENATE("R",'Administrativo '!#REF!),"")</f>
        <v>#REF!</v>
      </c>
      <c r="AK40" s="333"/>
      <c r="AL40" s="333" t="e">
        <f>IF(AND('Administrativo '!#REF!="Muy Baja",'Administrativo '!#REF!="Catastrófico"),CONCATENATE("R",'Administrativo '!#REF!),"")</f>
        <v>#REF!</v>
      </c>
      <c r="AM40" s="33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361"/>
      <c r="C41" s="361"/>
      <c r="D41" s="362"/>
      <c r="E41" s="354"/>
      <c r="F41" s="355"/>
      <c r="G41" s="355"/>
      <c r="H41" s="355"/>
      <c r="I41" s="356"/>
      <c r="J41" s="314"/>
      <c r="K41" s="315"/>
      <c r="L41" s="315"/>
      <c r="M41" s="315"/>
      <c r="N41" s="315"/>
      <c r="O41" s="316"/>
      <c r="P41" s="314"/>
      <c r="Q41" s="315"/>
      <c r="R41" s="315"/>
      <c r="S41" s="315"/>
      <c r="T41" s="315"/>
      <c r="U41" s="316"/>
      <c r="V41" s="323"/>
      <c r="W41" s="324"/>
      <c r="X41" s="324"/>
      <c r="Y41" s="324"/>
      <c r="Z41" s="324"/>
      <c r="AA41" s="325"/>
      <c r="AB41" s="341"/>
      <c r="AC41" s="342"/>
      <c r="AD41" s="342"/>
      <c r="AE41" s="342"/>
      <c r="AF41" s="342"/>
      <c r="AG41" s="343"/>
      <c r="AH41" s="332"/>
      <c r="AI41" s="333"/>
      <c r="AJ41" s="333"/>
      <c r="AK41" s="333"/>
      <c r="AL41" s="333"/>
      <c r="AM41" s="33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361"/>
      <c r="C42" s="361"/>
      <c r="D42" s="362"/>
      <c r="E42" s="354"/>
      <c r="F42" s="355"/>
      <c r="G42" s="355"/>
      <c r="H42" s="355"/>
      <c r="I42" s="356"/>
      <c r="J42" s="314" t="e">
        <f>IF(AND('Administrativo '!#REF!="Muy Baja",'Administrativo '!#REF!="Leve"),CONCATENATE("R",'Administrativo '!#REF!),"")</f>
        <v>#REF!</v>
      </c>
      <c r="K42" s="315"/>
      <c r="L42" s="315" t="e">
        <f>IF(AND('Administrativo '!#REF!="Muy Baja",'Administrativo '!#REF!="Leve"),CONCATENATE("R",'Administrativo '!#REF!),"")</f>
        <v>#REF!</v>
      </c>
      <c r="M42" s="315"/>
      <c r="N42" s="315" t="e">
        <f>IF(AND('Administrativo '!#REF!="Muy Baja",'Administrativo '!#REF!="Leve"),CONCATENATE("R",'Administrativo '!#REF!),"")</f>
        <v>#REF!</v>
      </c>
      <c r="O42" s="316"/>
      <c r="P42" s="314" t="e">
        <f>IF(AND('Administrativo '!#REF!="Muy Baja",'Administrativo '!#REF!="Menor"),CONCATENATE("R",'Administrativo '!#REF!),"")</f>
        <v>#REF!</v>
      </c>
      <c r="Q42" s="315"/>
      <c r="R42" s="315" t="e">
        <f>IF(AND('Administrativo '!#REF!="Muy Baja",'Administrativo '!#REF!="Menor"),CONCATENATE("R",'Administrativo '!#REF!),"")</f>
        <v>#REF!</v>
      </c>
      <c r="S42" s="315"/>
      <c r="T42" s="315" t="e">
        <f>IF(AND('Administrativo '!#REF!="Muy Baja",'Administrativo '!#REF!="Menor"),CONCATENATE("R",'Administrativo '!#REF!),"")</f>
        <v>#REF!</v>
      </c>
      <c r="U42" s="316"/>
      <c r="V42" s="323" t="e">
        <f>IF(AND('Administrativo '!#REF!="Muy Baja",'Administrativo '!#REF!="Moderado"),CONCATENATE("R",'Administrativo '!#REF!),"")</f>
        <v>#REF!</v>
      </c>
      <c r="W42" s="324"/>
      <c r="X42" s="324" t="e">
        <f>IF(AND('Administrativo '!#REF!="Muy Baja",'Administrativo '!#REF!="Moderado"),CONCATENATE("R",'Administrativo '!#REF!),"")</f>
        <v>#REF!</v>
      </c>
      <c r="Y42" s="324"/>
      <c r="Z42" s="324" t="e">
        <f>IF(AND('Administrativo '!#REF!="Muy Baja",'Administrativo '!#REF!="Moderado"),CONCATENATE("R",'Administrativo '!#REF!),"")</f>
        <v>#REF!</v>
      </c>
      <c r="AA42" s="325"/>
      <c r="AB42" s="341" t="e">
        <f>IF(AND('Administrativo '!#REF!="Muy Baja",'Administrativo '!#REF!="Mayor"),CONCATENATE("R",'Administrativo '!#REF!),"")</f>
        <v>#REF!</v>
      </c>
      <c r="AC42" s="342"/>
      <c r="AD42" s="342" t="e">
        <f>IF(AND('Administrativo '!#REF!="Muy Baja",'Administrativo '!#REF!="Mayor"),CONCATENATE("R",'Administrativo '!#REF!),"")</f>
        <v>#REF!</v>
      </c>
      <c r="AE42" s="342"/>
      <c r="AF42" s="342" t="e">
        <f>IF(AND('Administrativo '!#REF!="Muy Baja",'Administrativo '!#REF!="Mayor"),CONCATENATE("R",'Administrativo '!#REF!),"")</f>
        <v>#REF!</v>
      </c>
      <c r="AG42" s="343"/>
      <c r="AH42" s="332" t="e">
        <f>IF(AND('Administrativo '!#REF!="Muy Baja",'Administrativo '!#REF!="Catastrófico"),CONCATENATE("R",'Administrativo '!#REF!),"")</f>
        <v>#REF!</v>
      </c>
      <c r="AI42" s="333"/>
      <c r="AJ42" s="333" t="e">
        <f>IF(AND('Administrativo '!#REF!="Muy Baja",'Administrativo '!#REF!="Catastrófico"),CONCATENATE("R",'Administrativo '!#REF!),"")</f>
        <v>#REF!</v>
      </c>
      <c r="AK42" s="333"/>
      <c r="AL42" s="333" t="e">
        <f>IF(AND('Administrativo '!#REF!="Muy Baja",'Administrativo '!#REF!="Catastrófico"),CONCATENATE("R",'Administrativo '!#REF!),"")</f>
        <v>#REF!</v>
      </c>
      <c r="AM42" s="33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361"/>
      <c r="C43" s="361"/>
      <c r="D43" s="362"/>
      <c r="E43" s="354"/>
      <c r="F43" s="355"/>
      <c r="G43" s="355"/>
      <c r="H43" s="355"/>
      <c r="I43" s="356"/>
      <c r="J43" s="314"/>
      <c r="K43" s="315"/>
      <c r="L43" s="315"/>
      <c r="M43" s="315"/>
      <c r="N43" s="315"/>
      <c r="O43" s="316"/>
      <c r="P43" s="314"/>
      <c r="Q43" s="315"/>
      <c r="R43" s="315"/>
      <c r="S43" s="315"/>
      <c r="T43" s="315"/>
      <c r="U43" s="316"/>
      <c r="V43" s="323"/>
      <c r="W43" s="324"/>
      <c r="X43" s="324"/>
      <c r="Y43" s="324"/>
      <c r="Z43" s="324"/>
      <c r="AA43" s="325"/>
      <c r="AB43" s="341"/>
      <c r="AC43" s="342"/>
      <c r="AD43" s="342"/>
      <c r="AE43" s="342"/>
      <c r="AF43" s="342"/>
      <c r="AG43" s="343"/>
      <c r="AH43" s="332"/>
      <c r="AI43" s="333"/>
      <c r="AJ43" s="333"/>
      <c r="AK43" s="333"/>
      <c r="AL43" s="333"/>
      <c r="AM43" s="33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361"/>
      <c r="C44" s="361"/>
      <c r="D44" s="362"/>
      <c r="E44" s="354"/>
      <c r="F44" s="355"/>
      <c r="G44" s="355"/>
      <c r="H44" s="355"/>
      <c r="I44" s="356"/>
      <c r="J44" s="314" t="e">
        <f>IF(AND('Administrativo '!#REF!="Muy Baja",'Administrativo '!#REF!="Leve"),CONCATENATE("R",'Administrativo '!#REF!),"")</f>
        <v>#REF!</v>
      </c>
      <c r="K44" s="315"/>
      <c r="L44" s="315" t="str">
        <f>IF(AND('Administrativo '!$H$12="Muy Baja",'Administrativo '!$L$12="Leve"),CONCATENATE("R",'Administrativo '!$A$12),"")</f>
        <v/>
      </c>
      <c r="M44" s="315"/>
      <c r="N44" s="315" t="str">
        <f>IF(AND('Administrativo '!$H$18="Muy Baja",'Administrativo '!$L$18="Leve"),CONCATENATE("R",'Administrativo '!$A$18),"")</f>
        <v/>
      </c>
      <c r="O44" s="316"/>
      <c r="P44" s="314" t="e">
        <f>IF(AND('Administrativo '!#REF!="Muy Baja",'Administrativo '!#REF!="Menor"),CONCATENATE("R",'Administrativo '!#REF!),"")</f>
        <v>#REF!</v>
      </c>
      <c r="Q44" s="315"/>
      <c r="R44" s="315" t="str">
        <f>IF(AND('Administrativo '!$H$12="Muy Baja",'Administrativo '!$L$12="Menor"),CONCATENATE("R",'Administrativo '!$A$12),"")</f>
        <v/>
      </c>
      <c r="S44" s="315"/>
      <c r="T44" s="315" t="str">
        <f>IF(AND('Administrativo '!$H$18="Muy Baja",'Administrativo '!$L$18="Menor"),CONCATENATE("R",'Administrativo '!$A$18),"")</f>
        <v/>
      </c>
      <c r="U44" s="316"/>
      <c r="V44" s="323" t="e">
        <f>IF(AND('Administrativo '!#REF!="Muy Baja",'Administrativo '!#REF!="Moderado"),CONCATENATE("R",'Administrativo '!#REF!),"")</f>
        <v>#REF!</v>
      </c>
      <c r="W44" s="324"/>
      <c r="X44" s="324" t="str">
        <f>IF(AND('Administrativo '!$H$12="Muy Baja",'Administrativo '!$L$12="Moderado"),CONCATENATE("R",'Administrativo '!$A$12),"")</f>
        <v/>
      </c>
      <c r="Y44" s="324"/>
      <c r="Z44" s="324" t="str">
        <f>IF(AND('Administrativo '!$H$18="Muy Baja",'Administrativo '!$L$18="Moderado"),CONCATENATE("R",'Administrativo '!$A$18),"")</f>
        <v/>
      </c>
      <c r="AA44" s="325"/>
      <c r="AB44" s="341" t="e">
        <f>IF(AND('Administrativo '!#REF!="Muy Baja",'Administrativo '!#REF!="Mayor"),CONCATENATE("R",'Administrativo '!#REF!),"")</f>
        <v>#REF!</v>
      </c>
      <c r="AC44" s="342"/>
      <c r="AD44" s="342" t="str">
        <f>IF(AND('Administrativo '!$H$12="Muy Baja",'Administrativo '!$L$12="Mayor"),CONCATENATE("R",'Administrativo '!$A$12),"")</f>
        <v/>
      </c>
      <c r="AE44" s="342"/>
      <c r="AF44" s="342" t="str">
        <f>IF(AND('Administrativo '!$H$18="Muy Baja",'Administrativo '!$L$18="Mayor"),CONCATENATE("R",'Administrativo '!$A$18),"")</f>
        <v/>
      </c>
      <c r="AG44" s="343"/>
      <c r="AH44" s="332" t="e">
        <f>IF(AND('Administrativo '!#REF!="Muy Baja",'Administrativo '!#REF!="Catastrófico"),CONCATENATE("R",'Administrativo '!#REF!),"")</f>
        <v>#REF!</v>
      </c>
      <c r="AI44" s="333"/>
      <c r="AJ44" s="333" t="str">
        <f>IF(AND('Administrativo '!$H$12="Muy Baja",'Administrativo '!$L$12="Catastrófico"),CONCATENATE("R",'Administrativo '!$A$12),"")</f>
        <v/>
      </c>
      <c r="AK44" s="333"/>
      <c r="AL44" s="333" t="str">
        <f>IF(AND('Administrativo '!$H$18="Muy Baja",'Administrativo '!$L$18="Catastrófico"),CONCATENATE("R",'Administrativo '!$A$18),"")</f>
        <v/>
      </c>
      <c r="AM44" s="33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361"/>
      <c r="C45" s="361"/>
      <c r="D45" s="362"/>
      <c r="E45" s="357"/>
      <c r="F45" s="358"/>
      <c r="G45" s="358"/>
      <c r="H45" s="358"/>
      <c r="I45" s="359"/>
      <c r="J45" s="317"/>
      <c r="K45" s="318"/>
      <c r="L45" s="318"/>
      <c r="M45" s="318"/>
      <c r="N45" s="318"/>
      <c r="O45" s="319"/>
      <c r="P45" s="317"/>
      <c r="Q45" s="318"/>
      <c r="R45" s="318"/>
      <c r="S45" s="318"/>
      <c r="T45" s="318"/>
      <c r="U45" s="319"/>
      <c r="V45" s="326"/>
      <c r="W45" s="327"/>
      <c r="X45" s="327"/>
      <c r="Y45" s="327"/>
      <c r="Z45" s="327"/>
      <c r="AA45" s="328"/>
      <c r="AB45" s="344"/>
      <c r="AC45" s="345"/>
      <c r="AD45" s="345"/>
      <c r="AE45" s="345"/>
      <c r="AF45" s="345"/>
      <c r="AG45" s="346"/>
      <c r="AH45" s="335"/>
      <c r="AI45" s="336"/>
      <c r="AJ45" s="336"/>
      <c r="AK45" s="336"/>
      <c r="AL45" s="336"/>
      <c r="AM45" s="337"/>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351" t="s">
        <v>124</v>
      </c>
      <c r="K46" s="352"/>
      <c r="L46" s="352"/>
      <c r="M46" s="352"/>
      <c r="N46" s="352"/>
      <c r="O46" s="353"/>
      <c r="P46" s="351" t="s">
        <v>125</v>
      </c>
      <c r="Q46" s="352"/>
      <c r="R46" s="352"/>
      <c r="S46" s="352"/>
      <c r="T46" s="352"/>
      <c r="U46" s="353"/>
      <c r="V46" s="351" t="s">
        <v>126</v>
      </c>
      <c r="W46" s="352"/>
      <c r="X46" s="352"/>
      <c r="Y46" s="352"/>
      <c r="Z46" s="352"/>
      <c r="AA46" s="353"/>
      <c r="AB46" s="351" t="s">
        <v>127</v>
      </c>
      <c r="AC46" s="360"/>
      <c r="AD46" s="352"/>
      <c r="AE46" s="352"/>
      <c r="AF46" s="352"/>
      <c r="AG46" s="353"/>
      <c r="AH46" s="351" t="s">
        <v>128</v>
      </c>
      <c r="AI46" s="352"/>
      <c r="AJ46" s="352"/>
      <c r="AK46" s="352"/>
      <c r="AL46" s="352"/>
      <c r="AM46" s="353"/>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354"/>
      <c r="K47" s="355"/>
      <c r="L47" s="355"/>
      <c r="M47" s="355"/>
      <c r="N47" s="355"/>
      <c r="O47" s="356"/>
      <c r="P47" s="354"/>
      <c r="Q47" s="355"/>
      <c r="R47" s="355"/>
      <c r="S47" s="355"/>
      <c r="T47" s="355"/>
      <c r="U47" s="356"/>
      <c r="V47" s="354"/>
      <c r="W47" s="355"/>
      <c r="X47" s="355"/>
      <c r="Y47" s="355"/>
      <c r="Z47" s="355"/>
      <c r="AA47" s="356"/>
      <c r="AB47" s="354"/>
      <c r="AC47" s="355"/>
      <c r="AD47" s="355"/>
      <c r="AE47" s="355"/>
      <c r="AF47" s="355"/>
      <c r="AG47" s="356"/>
      <c r="AH47" s="354"/>
      <c r="AI47" s="355"/>
      <c r="AJ47" s="355"/>
      <c r="AK47" s="355"/>
      <c r="AL47" s="355"/>
      <c r="AM47" s="356"/>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354"/>
      <c r="K48" s="355"/>
      <c r="L48" s="355"/>
      <c r="M48" s="355"/>
      <c r="N48" s="355"/>
      <c r="O48" s="356"/>
      <c r="P48" s="354"/>
      <c r="Q48" s="355"/>
      <c r="R48" s="355"/>
      <c r="S48" s="355"/>
      <c r="T48" s="355"/>
      <c r="U48" s="356"/>
      <c r="V48" s="354"/>
      <c r="W48" s="355"/>
      <c r="X48" s="355"/>
      <c r="Y48" s="355"/>
      <c r="Z48" s="355"/>
      <c r="AA48" s="356"/>
      <c r="AB48" s="354"/>
      <c r="AC48" s="355"/>
      <c r="AD48" s="355"/>
      <c r="AE48" s="355"/>
      <c r="AF48" s="355"/>
      <c r="AG48" s="356"/>
      <c r="AH48" s="354"/>
      <c r="AI48" s="355"/>
      <c r="AJ48" s="355"/>
      <c r="AK48" s="355"/>
      <c r="AL48" s="355"/>
      <c r="AM48" s="356"/>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354"/>
      <c r="K49" s="355"/>
      <c r="L49" s="355"/>
      <c r="M49" s="355"/>
      <c r="N49" s="355"/>
      <c r="O49" s="356"/>
      <c r="P49" s="354"/>
      <c r="Q49" s="355"/>
      <c r="R49" s="355"/>
      <c r="S49" s="355"/>
      <c r="T49" s="355"/>
      <c r="U49" s="356"/>
      <c r="V49" s="354"/>
      <c r="W49" s="355"/>
      <c r="X49" s="355"/>
      <c r="Y49" s="355"/>
      <c r="Z49" s="355"/>
      <c r="AA49" s="356"/>
      <c r="AB49" s="354"/>
      <c r="AC49" s="355"/>
      <c r="AD49" s="355"/>
      <c r="AE49" s="355"/>
      <c r="AF49" s="355"/>
      <c r="AG49" s="356"/>
      <c r="AH49" s="354"/>
      <c r="AI49" s="355"/>
      <c r="AJ49" s="355"/>
      <c r="AK49" s="355"/>
      <c r="AL49" s="355"/>
      <c r="AM49" s="356"/>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354"/>
      <c r="K50" s="355"/>
      <c r="L50" s="355"/>
      <c r="M50" s="355"/>
      <c r="N50" s="355"/>
      <c r="O50" s="356"/>
      <c r="P50" s="354"/>
      <c r="Q50" s="355"/>
      <c r="R50" s="355"/>
      <c r="S50" s="355"/>
      <c r="T50" s="355"/>
      <c r="U50" s="356"/>
      <c r="V50" s="354"/>
      <c r="W50" s="355"/>
      <c r="X50" s="355"/>
      <c r="Y50" s="355"/>
      <c r="Z50" s="355"/>
      <c r="AA50" s="356"/>
      <c r="AB50" s="354"/>
      <c r="AC50" s="355"/>
      <c r="AD50" s="355"/>
      <c r="AE50" s="355"/>
      <c r="AF50" s="355"/>
      <c r="AG50" s="356"/>
      <c r="AH50" s="354"/>
      <c r="AI50" s="355"/>
      <c r="AJ50" s="355"/>
      <c r="AK50" s="355"/>
      <c r="AL50" s="355"/>
      <c r="AM50" s="356"/>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357"/>
      <c r="K51" s="358"/>
      <c r="L51" s="358"/>
      <c r="M51" s="358"/>
      <c r="N51" s="358"/>
      <c r="O51" s="359"/>
      <c r="P51" s="357"/>
      <c r="Q51" s="358"/>
      <c r="R51" s="358"/>
      <c r="S51" s="358"/>
      <c r="T51" s="358"/>
      <c r="U51" s="359"/>
      <c r="V51" s="357"/>
      <c r="W51" s="358"/>
      <c r="X51" s="358"/>
      <c r="Y51" s="358"/>
      <c r="Z51" s="358"/>
      <c r="AA51" s="359"/>
      <c r="AB51" s="357"/>
      <c r="AC51" s="358"/>
      <c r="AD51" s="358"/>
      <c r="AE51" s="358"/>
      <c r="AF51" s="358"/>
      <c r="AG51" s="359"/>
      <c r="AH51" s="357"/>
      <c r="AI51" s="358"/>
      <c r="AJ51" s="358"/>
      <c r="AK51" s="358"/>
      <c r="AL51" s="358"/>
      <c r="AM51" s="359"/>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CM248"/>
  <sheetViews>
    <sheetView zoomScale="50" zoomScaleNormal="50" workbookViewId="0">
      <selection activeCell="U71" sqref="U71"/>
    </sheetView>
  </sheetViews>
  <sheetFormatPr baseColWidth="10" defaultColWidth="11.42578125" defaultRowHeight="15" x14ac:dyDescent="0.25"/>
  <cols>
    <col min="2" max="18" width="5.85546875" customWidth="1"/>
    <col min="19" max="19" width="8.42578125" customWidth="1"/>
    <col min="20" max="23" width="5.85546875" customWidth="1"/>
    <col min="24" max="24" width="8.5703125" customWidth="1"/>
    <col min="25" max="26" width="5.85546875" customWidth="1"/>
    <col min="27" max="27" width="10.85546875" customWidth="1"/>
    <col min="28" max="28" width="5.85546875" customWidth="1"/>
    <col min="29" max="29" width="7.42578125" customWidth="1"/>
    <col min="30" max="33" width="5.85546875" customWidth="1"/>
    <col min="34" max="34" width="8.5703125" customWidth="1"/>
    <col min="35" max="39" width="5.85546875" customWidth="1"/>
    <col min="41" max="46" width="5.855468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428" t="s">
        <v>129</v>
      </c>
      <c r="C2" s="429"/>
      <c r="D2" s="429"/>
      <c r="E2" s="429"/>
      <c r="F2" s="429"/>
      <c r="G2" s="429"/>
      <c r="H2" s="429"/>
      <c r="I2" s="429"/>
      <c r="J2" s="350" t="s">
        <v>15</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429"/>
      <c r="C3" s="429"/>
      <c r="D3" s="429"/>
      <c r="E3" s="429"/>
      <c r="F3" s="429"/>
      <c r="G3" s="429"/>
      <c r="H3" s="429"/>
      <c r="I3" s="42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429"/>
      <c r="C4" s="429"/>
      <c r="D4" s="429"/>
      <c r="E4" s="429"/>
      <c r="F4" s="429"/>
      <c r="G4" s="429"/>
      <c r="H4" s="429"/>
      <c r="I4" s="429"/>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361" t="s">
        <v>114</v>
      </c>
      <c r="C6" s="361"/>
      <c r="D6" s="362"/>
      <c r="E6" s="399" t="s">
        <v>115</v>
      </c>
      <c r="F6" s="400"/>
      <c r="G6" s="400"/>
      <c r="H6" s="400"/>
      <c r="I6" s="401"/>
      <c r="J6" s="47" t="str">
        <f ca="1">IF(AND('Administrativo '!$Y$10="Muy Alta",'Administrativo '!$AA$10="Leve"),CONCATENATE("R1C",'Administrativo '!$O$10),"")</f>
        <v/>
      </c>
      <c r="K6" s="48" t="str">
        <f ca="1">IF(AND('Administrativo '!$Y$11="Muy Alta",'Administrativo '!$AA$11="Leve"),CONCATENATE("R1C",'Administrativo '!$O$11),"")</f>
        <v/>
      </c>
      <c r="L6" s="48" t="e">
        <f>IF(AND('Administrativo '!#REF!="Muy Alta",'Administrativo '!#REF!="Leve"),CONCATENATE("R1C",'Administrativo '!#REF!),"")</f>
        <v>#REF!</v>
      </c>
      <c r="M6" s="48" t="e">
        <f>IF(AND('Administrativo '!#REF!="Muy Alta",'Administrativo '!#REF!="Leve"),CONCATENATE("R1C",'Administrativo '!#REF!),"")</f>
        <v>#REF!</v>
      </c>
      <c r="N6" s="48" t="e">
        <f>IF(AND('Administrativo '!#REF!="Muy Alta",'Administrativo '!#REF!="Leve"),CONCATENATE("R1C",'Administrativo '!#REF!),"")</f>
        <v>#REF!</v>
      </c>
      <c r="O6" s="49" t="e">
        <f>IF(AND('Administrativo '!#REF!="Muy Alta",'Administrativo '!#REF!="Leve"),CONCATENATE("R1C",'Administrativo '!#REF!),"")</f>
        <v>#REF!</v>
      </c>
      <c r="P6" s="47" t="str">
        <f ca="1">IF(AND('Administrativo '!$Y$10="Muy Alta",'Administrativo '!$AA$10="Menor"),CONCATENATE("R1C",'Administrativo '!$O$10),"")</f>
        <v/>
      </c>
      <c r="Q6" s="48" t="str">
        <f ca="1">IF(AND('Administrativo '!$Y$11="Muy Alta",'Administrativo '!$AA$11="Menor"),CONCATENATE("R1C",'Administrativo '!$O$11),"")</f>
        <v/>
      </c>
      <c r="R6" s="48" t="e">
        <f>IF(AND('Administrativo '!#REF!="Muy Alta",'Administrativo '!#REF!="Menor"),CONCATENATE("R1C",'Administrativo '!#REF!),"")</f>
        <v>#REF!</v>
      </c>
      <c r="S6" s="48" t="e">
        <f>IF(AND('Administrativo '!#REF!="Muy Alta",'Administrativo '!#REF!="Menor"),CONCATENATE("R1C",'Administrativo '!#REF!),"")</f>
        <v>#REF!</v>
      </c>
      <c r="T6" s="48" t="e">
        <f>IF(AND('Administrativo '!#REF!="Muy Alta",'Administrativo '!#REF!="Menor"),CONCATENATE("R1C",'Administrativo '!#REF!),"")</f>
        <v>#REF!</v>
      </c>
      <c r="U6" s="49" t="e">
        <f>IF(AND('Administrativo '!#REF!="Muy Alta",'Administrativo '!#REF!="Menor"),CONCATENATE("R1C",'Administrativo '!#REF!),"")</f>
        <v>#REF!</v>
      </c>
      <c r="V6" s="47" t="str">
        <f ca="1">IF(AND('Administrativo '!$Y$10="Muy Alta",'Administrativo '!$AA$10="Moderado"),CONCATENATE("R1C",'Administrativo '!$O$10),"")</f>
        <v/>
      </c>
      <c r="W6" s="48" t="str">
        <f ca="1">IF(AND('Administrativo '!$Y$11="Muy Alta",'Administrativo '!$AA$11="Moderado"),CONCATENATE("R1C",'Administrativo '!$O$11),"")</f>
        <v/>
      </c>
      <c r="X6" s="48" t="e">
        <f>IF(AND('Administrativo '!#REF!="Muy Alta",'Administrativo '!#REF!="Moderado"),CONCATENATE("R1C",'Administrativo '!#REF!),"")</f>
        <v>#REF!</v>
      </c>
      <c r="Y6" s="48" t="e">
        <f>IF(AND('Administrativo '!#REF!="Muy Alta",'Administrativo '!#REF!="Moderado"),CONCATENATE("R1C",'Administrativo '!#REF!),"")</f>
        <v>#REF!</v>
      </c>
      <c r="Z6" s="48" t="e">
        <f>IF(AND('Administrativo '!#REF!="Muy Alta",'Administrativo '!#REF!="Moderado"),CONCATENATE("R1C",'Administrativo '!#REF!),"")</f>
        <v>#REF!</v>
      </c>
      <c r="AA6" s="49" t="e">
        <f>IF(AND('Administrativo '!#REF!="Muy Alta",'Administrativo '!#REF!="Moderado"),CONCATENATE("R1C",'Administrativo '!#REF!),"")</f>
        <v>#REF!</v>
      </c>
      <c r="AB6" s="47" t="str">
        <f ca="1">IF(AND('Administrativo '!$Y$10="Muy Alta",'Administrativo '!$AA$10="Mayor"),CONCATENATE("R1C",'Administrativo '!$O$10),"")</f>
        <v/>
      </c>
      <c r="AC6" s="48" t="str">
        <f ca="1">IF(AND('Administrativo '!$Y$11="Muy Alta",'Administrativo '!$AA$11="Mayor"),CONCATENATE("R1C",'Administrativo '!$O$11),"")</f>
        <v/>
      </c>
      <c r="AD6" s="48" t="e">
        <f>IF(AND('Administrativo '!#REF!="Muy Alta",'Administrativo '!#REF!="Mayor"),CONCATENATE("R1C",'Administrativo '!#REF!),"")</f>
        <v>#REF!</v>
      </c>
      <c r="AE6" s="48" t="e">
        <f>IF(AND('Administrativo '!#REF!="Muy Alta",'Administrativo '!#REF!="Mayor"),CONCATENATE("R1C",'Administrativo '!#REF!),"")</f>
        <v>#REF!</v>
      </c>
      <c r="AF6" s="48" t="e">
        <f>IF(AND('Administrativo '!#REF!="Muy Alta",'Administrativo '!#REF!="Mayor"),CONCATENATE("R1C",'Administrativo '!#REF!),"")</f>
        <v>#REF!</v>
      </c>
      <c r="AG6" s="49" t="e">
        <f>IF(AND('Administrativo '!#REF!="Muy Alta",'Administrativo '!#REF!="Mayor"),CONCATENATE("R1C",'Administrativo '!#REF!),"")</f>
        <v>#REF!</v>
      </c>
      <c r="AH6" s="50" t="str">
        <f ca="1">IF(AND('Administrativo '!$Y$10="Muy Alta",'Administrativo '!$AA$10="Catastrófico"),CONCATENATE("R1C",'Administrativo '!$O$10),"")</f>
        <v/>
      </c>
      <c r="AI6" s="51" t="str">
        <f ca="1">IF(AND('Administrativo '!$Y$11="Muy Alta",'Administrativo '!$AA$11="Catastrófico"),CONCATENATE("R1C",'Administrativo '!$O$11),"")</f>
        <v/>
      </c>
      <c r="AJ6" s="51" t="e">
        <f>IF(AND('Administrativo '!#REF!="Muy Alta",'Administrativo '!#REF!="Catastrófico"),CONCATENATE("R1C",'Administrativo '!#REF!),"")</f>
        <v>#REF!</v>
      </c>
      <c r="AK6" s="51" t="e">
        <f>IF(AND('Administrativo '!#REF!="Muy Alta",'Administrativo '!#REF!="Catastrófico"),CONCATENATE("R1C",'Administrativo '!#REF!),"")</f>
        <v>#REF!</v>
      </c>
      <c r="AL6" s="51" t="e">
        <f>IF(AND('Administrativo '!#REF!="Muy Alta",'Administrativo '!#REF!="Catastrófico"),CONCATENATE("R1C",'Administrativo '!#REF!),"")</f>
        <v>#REF!</v>
      </c>
      <c r="AM6" s="52" t="e">
        <f>IF(AND('Administrativo '!#REF!="Muy Alta",'Administrativo '!#REF!="Catastrófico"),CONCATENATE("R1C",'Administrativo '!#REF!),"")</f>
        <v>#REF!</v>
      </c>
      <c r="AN6" s="84"/>
      <c r="AO6" s="419" t="s">
        <v>116</v>
      </c>
      <c r="AP6" s="420"/>
      <c r="AQ6" s="420"/>
      <c r="AR6" s="420"/>
      <c r="AS6" s="420"/>
      <c r="AT6" s="421"/>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361"/>
      <c r="C7" s="361"/>
      <c r="D7" s="362"/>
      <c r="E7" s="402"/>
      <c r="F7" s="403"/>
      <c r="G7" s="403"/>
      <c r="H7" s="403"/>
      <c r="I7" s="404"/>
      <c r="J7" s="53" t="e">
        <f>IF(AND('Administrativo '!#REF!="Muy Alta",'Administrativo '!#REF!="Leve"),CONCATENATE("R2C",'Administrativo '!#REF!),"")</f>
        <v>#REF!</v>
      </c>
      <c r="K7" s="54" t="e">
        <f>IF(AND('Administrativo '!#REF!="Muy Alta",'Administrativo '!#REF!="Leve"),CONCATENATE("R2C",'Administrativo '!#REF!),"")</f>
        <v>#REF!</v>
      </c>
      <c r="L7" s="54" t="e">
        <f>IF(AND('Administrativo '!#REF!="Muy Alta",'Administrativo '!#REF!="Leve"),CONCATENATE("R2C",'Administrativo '!#REF!),"")</f>
        <v>#REF!</v>
      </c>
      <c r="M7" s="54" t="e">
        <f>IF(AND('Administrativo '!#REF!="Muy Alta",'Administrativo '!#REF!="Leve"),CONCATENATE("R2C",'Administrativo '!#REF!),"")</f>
        <v>#REF!</v>
      </c>
      <c r="N7" s="54" t="e">
        <f>IF(AND('Administrativo '!#REF!="Muy Alta",'Administrativo '!#REF!="Leve"),CONCATENATE("R2C",'Administrativo '!#REF!),"")</f>
        <v>#REF!</v>
      </c>
      <c r="O7" s="55" t="e">
        <f>IF(AND('Administrativo '!#REF!="Muy Alta",'Administrativo '!#REF!="Leve"),CONCATENATE("R2C",'Administrativo '!#REF!),"")</f>
        <v>#REF!</v>
      </c>
      <c r="P7" s="53" t="e">
        <f>IF(AND('Administrativo '!#REF!="Muy Alta",'Administrativo '!#REF!="Menor"),CONCATENATE("R2C",'Administrativo '!#REF!),"")</f>
        <v>#REF!</v>
      </c>
      <c r="Q7" s="54" t="e">
        <f>IF(AND('Administrativo '!#REF!="Muy Alta",'Administrativo '!#REF!="Menor"),CONCATENATE("R2C",'Administrativo '!#REF!),"")</f>
        <v>#REF!</v>
      </c>
      <c r="R7" s="54" t="e">
        <f>IF(AND('Administrativo '!#REF!="Muy Alta",'Administrativo '!#REF!="Menor"),CONCATENATE("R2C",'Administrativo '!#REF!),"")</f>
        <v>#REF!</v>
      </c>
      <c r="S7" s="54" t="e">
        <f>IF(AND('Administrativo '!#REF!="Muy Alta",'Administrativo '!#REF!="Menor"),CONCATENATE("R2C",'Administrativo '!#REF!),"")</f>
        <v>#REF!</v>
      </c>
      <c r="T7" s="54" t="e">
        <f>IF(AND('Administrativo '!#REF!="Muy Alta",'Administrativo '!#REF!="Menor"),CONCATENATE("R2C",'Administrativo '!#REF!),"")</f>
        <v>#REF!</v>
      </c>
      <c r="U7" s="55" t="e">
        <f>IF(AND('Administrativo '!#REF!="Muy Alta",'Administrativo '!#REF!="Menor"),CONCATENATE("R2C",'Administrativo '!#REF!),"")</f>
        <v>#REF!</v>
      </c>
      <c r="V7" s="53" t="e">
        <f>IF(AND('Administrativo '!#REF!="Muy Alta",'Administrativo '!#REF!="Moderado"),CONCATENATE("R2C",'Administrativo '!#REF!),"")</f>
        <v>#REF!</v>
      </c>
      <c r="W7" s="54" t="e">
        <f>IF(AND('Administrativo '!#REF!="Muy Alta",'Administrativo '!#REF!="Moderado"),CONCATENATE("R2C",'Administrativo '!#REF!),"")</f>
        <v>#REF!</v>
      </c>
      <c r="X7" s="54" t="e">
        <f>IF(AND('Administrativo '!#REF!="Muy Alta",'Administrativo '!#REF!="Moderado"),CONCATENATE("R2C",'Administrativo '!#REF!),"")</f>
        <v>#REF!</v>
      </c>
      <c r="Y7" s="54" t="e">
        <f>IF(AND('Administrativo '!#REF!="Muy Alta",'Administrativo '!#REF!="Moderado"),CONCATENATE("R2C",'Administrativo '!#REF!),"")</f>
        <v>#REF!</v>
      </c>
      <c r="Z7" s="54" t="e">
        <f>IF(AND('Administrativo '!#REF!="Muy Alta",'Administrativo '!#REF!="Moderado"),CONCATENATE("R2C",'Administrativo '!#REF!),"")</f>
        <v>#REF!</v>
      </c>
      <c r="AA7" s="55" t="e">
        <f>IF(AND('Administrativo '!#REF!="Muy Alta",'Administrativo '!#REF!="Moderado"),CONCATENATE("R2C",'Administrativo '!#REF!),"")</f>
        <v>#REF!</v>
      </c>
      <c r="AB7" s="53" t="e">
        <f>IF(AND('Administrativo '!#REF!="Muy Alta",'Administrativo '!#REF!="Mayor"),CONCATENATE("R2C",'Administrativo '!#REF!),"")</f>
        <v>#REF!</v>
      </c>
      <c r="AC7" s="54" t="e">
        <f>IF(AND('Administrativo '!#REF!="Muy Alta",'Administrativo '!#REF!="Mayor"),CONCATENATE("R2C",'Administrativo '!#REF!),"")</f>
        <v>#REF!</v>
      </c>
      <c r="AD7" s="54" t="e">
        <f>IF(AND('Administrativo '!#REF!="Muy Alta",'Administrativo '!#REF!="Mayor"),CONCATENATE("R2C",'Administrativo '!#REF!),"")</f>
        <v>#REF!</v>
      </c>
      <c r="AE7" s="54" t="e">
        <f>IF(AND('Administrativo '!#REF!="Muy Alta",'Administrativo '!#REF!="Mayor"),CONCATENATE("R2C",'Administrativo '!#REF!),"")</f>
        <v>#REF!</v>
      </c>
      <c r="AF7" s="54" t="e">
        <f>IF(AND('Administrativo '!#REF!="Muy Alta",'Administrativo '!#REF!="Mayor"),CONCATENATE("R2C",'Administrativo '!#REF!),"")</f>
        <v>#REF!</v>
      </c>
      <c r="AG7" s="55" t="e">
        <f>IF(AND('Administrativo '!#REF!="Muy Alta",'Administrativo '!#REF!="Mayor"),CONCATENATE("R2C",'Administrativo '!#REF!),"")</f>
        <v>#REF!</v>
      </c>
      <c r="AH7" s="56" t="e">
        <f>IF(AND('Administrativo '!#REF!="Muy Alta",'Administrativo '!#REF!="Catastrófico"),CONCATENATE("R2C",'Administrativo '!#REF!),"")</f>
        <v>#REF!</v>
      </c>
      <c r="AI7" s="57" t="e">
        <f>IF(AND('Administrativo '!#REF!="Muy Alta",'Administrativo '!#REF!="Catastrófico"),CONCATENATE("R2C",'Administrativo '!#REF!),"")</f>
        <v>#REF!</v>
      </c>
      <c r="AJ7" s="57" t="e">
        <f>IF(AND('Administrativo '!#REF!="Muy Alta",'Administrativo '!#REF!="Catastrófico"),CONCATENATE("R2C",'Administrativo '!#REF!),"")</f>
        <v>#REF!</v>
      </c>
      <c r="AK7" s="57" t="e">
        <f>IF(AND('Administrativo '!#REF!="Muy Alta",'Administrativo '!#REF!="Catastrófico"),CONCATENATE("R2C",'Administrativo '!#REF!),"")</f>
        <v>#REF!</v>
      </c>
      <c r="AL7" s="57" t="e">
        <f>IF(AND('Administrativo '!#REF!="Muy Alta",'Administrativo '!#REF!="Catastrófico"),CONCATENATE("R2C",'Administrativo '!#REF!),"")</f>
        <v>#REF!</v>
      </c>
      <c r="AM7" s="58" t="e">
        <f>IF(AND('Administrativo '!#REF!="Muy Alta",'Administrativo '!#REF!="Catastrófico"),CONCATENATE("R2C",'Administrativo '!#REF!),"")</f>
        <v>#REF!</v>
      </c>
      <c r="AN7" s="84"/>
      <c r="AO7" s="422"/>
      <c r="AP7" s="423"/>
      <c r="AQ7" s="423"/>
      <c r="AR7" s="423"/>
      <c r="AS7" s="423"/>
      <c r="AT7" s="42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361"/>
      <c r="C8" s="361"/>
      <c r="D8" s="362"/>
      <c r="E8" s="402"/>
      <c r="F8" s="403"/>
      <c r="G8" s="403"/>
      <c r="H8" s="403"/>
      <c r="I8" s="404"/>
      <c r="J8" s="53" t="e">
        <f>IF(AND('Administrativo '!#REF!="Muy Alta",'Administrativo '!#REF!="Leve"),CONCATENATE("R3C",'Administrativo '!#REF!),"")</f>
        <v>#REF!</v>
      </c>
      <c r="K8" s="54" t="e">
        <f>IF(AND('Administrativo '!#REF!="Muy Alta",'Administrativo '!#REF!="Leve"),CONCATENATE("R3C",'Administrativo '!#REF!),"")</f>
        <v>#REF!</v>
      </c>
      <c r="L8" s="54" t="e">
        <f>IF(AND('Administrativo '!#REF!="Muy Alta",'Administrativo '!#REF!="Leve"),CONCATENATE("R3C",'Administrativo '!#REF!),"")</f>
        <v>#REF!</v>
      </c>
      <c r="M8" s="54" t="e">
        <f>IF(AND('Administrativo '!#REF!="Muy Alta",'Administrativo '!#REF!="Leve"),CONCATENATE("R3C",'Administrativo '!#REF!),"")</f>
        <v>#REF!</v>
      </c>
      <c r="N8" s="54" t="e">
        <f>IF(AND('Administrativo '!#REF!="Muy Alta",'Administrativo '!#REF!="Leve"),CONCATENATE("R3C",'Administrativo '!#REF!),"")</f>
        <v>#REF!</v>
      </c>
      <c r="O8" s="55" t="e">
        <f>IF(AND('Administrativo '!#REF!="Muy Alta",'Administrativo '!#REF!="Leve"),CONCATENATE("R3C",'Administrativo '!#REF!),"")</f>
        <v>#REF!</v>
      </c>
      <c r="P8" s="53" t="e">
        <f>IF(AND('Administrativo '!#REF!="Muy Alta",'Administrativo '!#REF!="Menor"),CONCATENATE("R3C",'Administrativo '!#REF!),"")</f>
        <v>#REF!</v>
      </c>
      <c r="Q8" s="54" t="e">
        <f>IF(AND('Administrativo '!#REF!="Muy Alta",'Administrativo '!#REF!="Menor"),CONCATENATE("R3C",'Administrativo '!#REF!),"")</f>
        <v>#REF!</v>
      </c>
      <c r="R8" s="54" t="e">
        <f>IF(AND('Administrativo '!#REF!="Muy Alta",'Administrativo '!#REF!="Menor"),CONCATENATE("R3C",'Administrativo '!#REF!),"")</f>
        <v>#REF!</v>
      </c>
      <c r="S8" s="54" t="e">
        <f>IF(AND('Administrativo '!#REF!="Muy Alta",'Administrativo '!#REF!="Menor"),CONCATENATE("R3C",'Administrativo '!#REF!),"")</f>
        <v>#REF!</v>
      </c>
      <c r="T8" s="54" t="e">
        <f>IF(AND('Administrativo '!#REF!="Muy Alta",'Administrativo '!#REF!="Menor"),CONCATENATE("R3C",'Administrativo '!#REF!),"")</f>
        <v>#REF!</v>
      </c>
      <c r="U8" s="55" t="e">
        <f>IF(AND('Administrativo '!#REF!="Muy Alta",'Administrativo '!#REF!="Menor"),CONCATENATE("R3C",'Administrativo '!#REF!),"")</f>
        <v>#REF!</v>
      </c>
      <c r="V8" s="53" t="e">
        <f>IF(AND('Administrativo '!#REF!="Muy Alta",'Administrativo '!#REF!="Moderado"),CONCATENATE("R3C",'Administrativo '!#REF!),"")</f>
        <v>#REF!</v>
      </c>
      <c r="W8" s="54" t="e">
        <f>IF(AND('Administrativo '!#REF!="Muy Alta",'Administrativo '!#REF!="Moderado"),CONCATENATE("R3C",'Administrativo '!#REF!),"")</f>
        <v>#REF!</v>
      </c>
      <c r="X8" s="54" t="e">
        <f>IF(AND('Administrativo '!#REF!="Muy Alta",'Administrativo '!#REF!="Moderado"),CONCATENATE("R3C",'Administrativo '!#REF!),"")</f>
        <v>#REF!</v>
      </c>
      <c r="Y8" s="54" t="e">
        <f>IF(AND('Administrativo '!#REF!="Muy Alta",'Administrativo '!#REF!="Moderado"),CONCATENATE("R3C",'Administrativo '!#REF!),"")</f>
        <v>#REF!</v>
      </c>
      <c r="Z8" s="54" t="e">
        <f>IF(AND('Administrativo '!#REF!="Muy Alta",'Administrativo '!#REF!="Moderado"),CONCATENATE("R3C",'Administrativo '!#REF!),"")</f>
        <v>#REF!</v>
      </c>
      <c r="AA8" s="55" t="e">
        <f>IF(AND('Administrativo '!#REF!="Muy Alta",'Administrativo '!#REF!="Moderado"),CONCATENATE("R3C",'Administrativo '!#REF!),"")</f>
        <v>#REF!</v>
      </c>
      <c r="AB8" s="53" t="e">
        <f>IF(AND('Administrativo '!#REF!="Muy Alta",'Administrativo '!#REF!="Mayor"),CONCATENATE("R3C",'Administrativo '!#REF!),"")</f>
        <v>#REF!</v>
      </c>
      <c r="AC8" s="54" t="e">
        <f>IF(AND('Administrativo '!#REF!="Muy Alta",'Administrativo '!#REF!="Mayor"),CONCATENATE("R3C",'Administrativo '!#REF!),"")</f>
        <v>#REF!</v>
      </c>
      <c r="AD8" s="54" t="e">
        <f>IF(AND('Administrativo '!#REF!="Muy Alta",'Administrativo '!#REF!="Mayor"),CONCATENATE("R3C",'Administrativo '!#REF!),"")</f>
        <v>#REF!</v>
      </c>
      <c r="AE8" s="54" t="e">
        <f>IF(AND('Administrativo '!#REF!="Muy Alta",'Administrativo '!#REF!="Mayor"),CONCATENATE("R3C",'Administrativo '!#REF!),"")</f>
        <v>#REF!</v>
      </c>
      <c r="AF8" s="54" t="e">
        <f>IF(AND('Administrativo '!#REF!="Muy Alta",'Administrativo '!#REF!="Mayor"),CONCATENATE("R3C",'Administrativo '!#REF!),"")</f>
        <v>#REF!</v>
      </c>
      <c r="AG8" s="55" t="e">
        <f>IF(AND('Administrativo '!#REF!="Muy Alta",'Administrativo '!#REF!="Mayor"),CONCATENATE("R3C",'Administrativo '!#REF!),"")</f>
        <v>#REF!</v>
      </c>
      <c r="AH8" s="56" t="e">
        <f>IF(AND('Administrativo '!#REF!="Muy Alta",'Administrativo '!#REF!="Catastrófico"),CONCATENATE("R3C",'Administrativo '!#REF!),"")</f>
        <v>#REF!</v>
      </c>
      <c r="AI8" s="57" t="e">
        <f>IF(AND('Administrativo '!#REF!="Muy Alta",'Administrativo '!#REF!="Catastrófico"),CONCATENATE("R3C",'Administrativo '!#REF!),"")</f>
        <v>#REF!</v>
      </c>
      <c r="AJ8" s="57" t="e">
        <f>IF(AND('Administrativo '!#REF!="Muy Alta",'Administrativo '!#REF!="Catastrófico"),CONCATENATE("R3C",'Administrativo '!#REF!),"")</f>
        <v>#REF!</v>
      </c>
      <c r="AK8" s="57" t="e">
        <f>IF(AND('Administrativo '!#REF!="Muy Alta",'Administrativo '!#REF!="Catastrófico"),CONCATENATE("R3C",'Administrativo '!#REF!),"")</f>
        <v>#REF!</v>
      </c>
      <c r="AL8" s="57" t="e">
        <f>IF(AND('Administrativo '!#REF!="Muy Alta",'Administrativo '!#REF!="Catastrófico"),CONCATENATE("R3C",'Administrativo '!#REF!),"")</f>
        <v>#REF!</v>
      </c>
      <c r="AM8" s="58" t="e">
        <f>IF(AND('Administrativo '!#REF!="Muy Alta",'Administrativo '!#REF!="Catastrófico"),CONCATENATE("R3C",'Administrativo '!#REF!),"")</f>
        <v>#REF!</v>
      </c>
      <c r="AN8" s="84"/>
      <c r="AO8" s="422"/>
      <c r="AP8" s="423"/>
      <c r="AQ8" s="423"/>
      <c r="AR8" s="423"/>
      <c r="AS8" s="423"/>
      <c r="AT8" s="42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361"/>
      <c r="C9" s="361"/>
      <c r="D9" s="362"/>
      <c r="E9" s="402"/>
      <c r="F9" s="403"/>
      <c r="G9" s="403"/>
      <c r="H9" s="403"/>
      <c r="I9" s="404"/>
      <c r="J9" s="53" t="e">
        <f>IF(AND('Administrativo '!#REF!="Muy Alta",'Administrativo '!#REF!="Leve"),CONCATENATE("R4C",'Administrativo '!#REF!),"")</f>
        <v>#REF!</v>
      </c>
      <c r="K9" s="54" t="e">
        <f>IF(AND('Administrativo '!#REF!="Muy Alta",'Administrativo '!#REF!="Leve"),CONCATENATE("R4C",'Administrativo '!#REF!),"")</f>
        <v>#REF!</v>
      </c>
      <c r="L9" s="54" t="e">
        <f>IF(AND('Administrativo '!#REF!="Muy Alta",'Administrativo '!#REF!="Leve"),CONCATENATE("R4C",'Administrativo '!#REF!),"")</f>
        <v>#REF!</v>
      </c>
      <c r="M9" s="54" t="e">
        <f>IF(AND('Administrativo '!#REF!="Muy Alta",'Administrativo '!#REF!="Leve"),CONCATENATE("R4C",'Administrativo '!#REF!),"")</f>
        <v>#REF!</v>
      </c>
      <c r="N9" s="54" t="e">
        <f>IF(AND('Administrativo '!#REF!="Muy Alta",'Administrativo '!#REF!="Leve"),CONCATENATE("R4C",'Administrativo '!#REF!),"")</f>
        <v>#REF!</v>
      </c>
      <c r="O9" s="55" t="e">
        <f>IF(AND('Administrativo '!#REF!="Muy Alta",'Administrativo '!#REF!="Leve"),CONCATENATE("R4C",'Administrativo '!#REF!),"")</f>
        <v>#REF!</v>
      </c>
      <c r="P9" s="53" t="e">
        <f>IF(AND('Administrativo '!#REF!="Muy Alta",'Administrativo '!#REF!="Menor"),CONCATENATE("R4C",'Administrativo '!#REF!),"")</f>
        <v>#REF!</v>
      </c>
      <c r="Q9" s="54" t="e">
        <f>IF(AND('Administrativo '!#REF!="Muy Alta",'Administrativo '!#REF!="Menor"),CONCATENATE("R4C",'Administrativo '!#REF!),"")</f>
        <v>#REF!</v>
      </c>
      <c r="R9" s="54" t="e">
        <f>IF(AND('Administrativo '!#REF!="Muy Alta",'Administrativo '!#REF!="Menor"),CONCATENATE("R4C",'Administrativo '!#REF!),"")</f>
        <v>#REF!</v>
      </c>
      <c r="S9" s="54" t="e">
        <f>IF(AND('Administrativo '!#REF!="Muy Alta",'Administrativo '!#REF!="Menor"),CONCATENATE("R4C",'Administrativo '!#REF!),"")</f>
        <v>#REF!</v>
      </c>
      <c r="T9" s="54" t="e">
        <f>IF(AND('Administrativo '!#REF!="Muy Alta",'Administrativo '!#REF!="Menor"),CONCATENATE("R4C",'Administrativo '!#REF!),"")</f>
        <v>#REF!</v>
      </c>
      <c r="U9" s="55" t="e">
        <f>IF(AND('Administrativo '!#REF!="Muy Alta",'Administrativo '!#REF!="Menor"),CONCATENATE("R4C",'Administrativo '!#REF!),"")</f>
        <v>#REF!</v>
      </c>
      <c r="V9" s="53" t="e">
        <f>IF(AND('Administrativo '!#REF!="Muy Alta",'Administrativo '!#REF!="Moderado"),CONCATENATE("R4C",'Administrativo '!#REF!),"")</f>
        <v>#REF!</v>
      </c>
      <c r="W9" s="54" t="e">
        <f>IF(AND('Administrativo '!#REF!="Muy Alta",'Administrativo '!#REF!="Moderado"),CONCATENATE("R4C",'Administrativo '!#REF!),"")</f>
        <v>#REF!</v>
      </c>
      <c r="X9" s="54" t="e">
        <f>IF(AND('Administrativo '!#REF!="Muy Alta",'Administrativo '!#REF!="Moderado"),CONCATENATE("R4C",'Administrativo '!#REF!),"")</f>
        <v>#REF!</v>
      </c>
      <c r="Y9" s="54" t="e">
        <f>IF(AND('Administrativo '!#REF!="Muy Alta",'Administrativo '!#REF!="Moderado"),CONCATENATE("R4C",'Administrativo '!#REF!),"")</f>
        <v>#REF!</v>
      </c>
      <c r="Z9" s="54" t="e">
        <f>IF(AND('Administrativo '!#REF!="Muy Alta",'Administrativo '!#REF!="Moderado"),CONCATENATE("R4C",'Administrativo '!#REF!),"")</f>
        <v>#REF!</v>
      </c>
      <c r="AA9" s="55" t="e">
        <f>IF(AND('Administrativo '!#REF!="Muy Alta",'Administrativo '!#REF!="Moderado"),CONCATENATE("R4C",'Administrativo '!#REF!),"")</f>
        <v>#REF!</v>
      </c>
      <c r="AB9" s="53" t="e">
        <f>IF(AND('Administrativo '!#REF!="Muy Alta",'Administrativo '!#REF!="Mayor"),CONCATENATE("R4C",'Administrativo '!#REF!),"")</f>
        <v>#REF!</v>
      </c>
      <c r="AC9" s="54" t="e">
        <f>IF(AND('Administrativo '!#REF!="Muy Alta",'Administrativo '!#REF!="Mayor"),CONCATENATE("R4C",'Administrativo '!#REF!),"")</f>
        <v>#REF!</v>
      </c>
      <c r="AD9" s="54" t="e">
        <f>IF(AND('Administrativo '!#REF!="Muy Alta",'Administrativo '!#REF!="Mayor"),CONCATENATE("R4C",'Administrativo '!#REF!),"")</f>
        <v>#REF!</v>
      </c>
      <c r="AE9" s="54" t="e">
        <f>IF(AND('Administrativo '!#REF!="Muy Alta",'Administrativo '!#REF!="Mayor"),CONCATENATE("R4C",'Administrativo '!#REF!),"")</f>
        <v>#REF!</v>
      </c>
      <c r="AF9" s="54" t="e">
        <f>IF(AND('Administrativo '!#REF!="Muy Alta",'Administrativo '!#REF!="Mayor"),CONCATENATE("R4C",'Administrativo '!#REF!),"")</f>
        <v>#REF!</v>
      </c>
      <c r="AG9" s="55" t="e">
        <f>IF(AND('Administrativo '!#REF!="Muy Alta",'Administrativo '!#REF!="Mayor"),CONCATENATE("R4C",'Administrativo '!#REF!),"")</f>
        <v>#REF!</v>
      </c>
      <c r="AH9" s="56" t="e">
        <f>IF(AND('Administrativo '!#REF!="Muy Alta",'Administrativo '!#REF!="Catastrófico"),CONCATENATE("R4C",'Administrativo '!#REF!),"")</f>
        <v>#REF!</v>
      </c>
      <c r="AI9" s="57" t="e">
        <f>IF(AND('Administrativo '!#REF!="Muy Alta",'Administrativo '!#REF!="Catastrófico"),CONCATENATE("R4C",'Administrativo '!#REF!),"")</f>
        <v>#REF!</v>
      </c>
      <c r="AJ9" s="57" t="e">
        <f>IF(AND('Administrativo '!#REF!="Muy Alta",'Administrativo '!#REF!="Catastrófico"),CONCATENATE("R4C",'Administrativo '!#REF!),"")</f>
        <v>#REF!</v>
      </c>
      <c r="AK9" s="57" t="e">
        <f>IF(AND('Administrativo '!#REF!="Muy Alta",'Administrativo '!#REF!="Catastrófico"),CONCATENATE("R4C",'Administrativo '!#REF!),"")</f>
        <v>#REF!</v>
      </c>
      <c r="AL9" s="57" t="e">
        <f>IF(AND('Administrativo '!#REF!="Muy Alta",'Administrativo '!#REF!="Catastrófico"),CONCATENATE("R4C",'Administrativo '!#REF!),"")</f>
        <v>#REF!</v>
      </c>
      <c r="AM9" s="58" t="e">
        <f>IF(AND('Administrativo '!#REF!="Muy Alta",'Administrativo '!#REF!="Catastrófico"),CONCATENATE("R4C",'Administrativo '!#REF!),"")</f>
        <v>#REF!</v>
      </c>
      <c r="AN9" s="84"/>
      <c r="AO9" s="422"/>
      <c r="AP9" s="423"/>
      <c r="AQ9" s="423"/>
      <c r="AR9" s="423"/>
      <c r="AS9" s="423"/>
      <c r="AT9" s="42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361"/>
      <c r="C10" s="361"/>
      <c r="D10" s="362"/>
      <c r="E10" s="402"/>
      <c r="F10" s="403"/>
      <c r="G10" s="403"/>
      <c r="H10" s="403"/>
      <c r="I10" s="404"/>
      <c r="J10" s="53" t="e">
        <f>IF(AND('Administrativo '!#REF!="Muy Alta",'Administrativo '!#REF!="Leve"),CONCATENATE("R5C",'Administrativo '!#REF!),"")</f>
        <v>#REF!</v>
      </c>
      <c r="K10" s="54" t="e">
        <f>IF(AND('Administrativo '!#REF!="Muy Alta",'Administrativo '!#REF!="Leve"),CONCATENATE("R5C",'Administrativo '!#REF!),"")</f>
        <v>#REF!</v>
      </c>
      <c r="L10" s="54" t="e">
        <f>IF(AND('Administrativo '!#REF!="Muy Alta",'Administrativo '!#REF!="Leve"),CONCATENATE("R5C",'Administrativo '!#REF!),"")</f>
        <v>#REF!</v>
      </c>
      <c r="M10" s="54" t="e">
        <f>IF(AND('Administrativo '!#REF!="Muy Alta",'Administrativo '!#REF!="Leve"),CONCATENATE("R5C",'Administrativo '!#REF!),"")</f>
        <v>#REF!</v>
      </c>
      <c r="N10" s="54" t="e">
        <f>IF(AND('Administrativo '!#REF!="Muy Alta",'Administrativo '!#REF!="Leve"),CONCATENATE("R5C",'Administrativo '!#REF!),"")</f>
        <v>#REF!</v>
      </c>
      <c r="O10" s="55" t="e">
        <f>IF(AND('Administrativo '!#REF!="Muy Alta",'Administrativo '!#REF!="Leve"),CONCATENATE("R5C",'Administrativo '!#REF!),"")</f>
        <v>#REF!</v>
      </c>
      <c r="P10" s="53" t="e">
        <f>IF(AND('Administrativo '!#REF!="Muy Alta",'Administrativo '!#REF!="Menor"),CONCATENATE("R5C",'Administrativo '!#REF!),"")</f>
        <v>#REF!</v>
      </c>
      <c r="Q10" s="54" t="e">
        <f>IF(AND('Administrativo '!#REF!="Muy Alta",'Administrativo '!#REF!="Menor"),CONCATENATE("R5C",'Administrativo '!#REF!),"")</f>
        <v>#REF!</v>
      </c>
      <c r="R10" s="54" t="e">
        <f>IF(AND('Administrativo '!#REF!="Muy Alta",'Administrativo '!#REF!="Menor"),CONCATENATE("R5C",'Administrativo '!#REF!),"")</f>
        <v>#REF!</v>
      </c>
      <c r="S10" s="54" t="e">
        <f>IF(AND('Administrativo '!#REF!="Muy Alta",'Administrativo '!#REF!="Menor"),CONCATENATE("R5C",'Administrativo '!#REF!),"")</f>
        <v>#REF!</v>
      </c>
      <c r="T10" s="54" t="e">
        <f>IF(AND('Administrativo '!#REF!="Muy Alta",'Administrativo '!#REF!="Menor"),CONCATENATE("R5C",'Administrativo '!#REF!),"")</f>
        <v>#REF!</v>
      </c>
      <c r="U10" s="55" t="e">
        <f>IF(AND('Administrativo '!#REF!="Muy Alta",'Administrativo '!#REF!="Menor"),CONCATENATE("R5C",'Administrativo '!#REF!),"")</f>
        <v>#REF!</v>
      </c>
      <c r="V10" s="53" t="e">
        <f>IF(AND('Administrativo '!#REF!="Muy Alta",'Administrativo '!#REF!="Moderado"),CONCATENATE("R5C",'Administrativo '!#REF!),"")</f>
        <v>#REF!</v>
      </c>
      <c r="W10" s="54" t="e">
        <f>IF(AND('Administrativo '!#REF!="Muy Alta",'Administrativo '!#REF!="Moderado"),CONCATENATE("R5C",'Administrativo '!#REF!),"")</f>
        <v>#REF!</v>
      </c>
      <c r="X10" s="54" t="e">
        <f>IF(AND('Administrativo '!#REF!="Muy Alta",'Administrativo '!#REF!="Moderado"),CONCATENATE("R5C",'Administrativo '!#REF!),"")</f>
        <v>#REF!</v>
      </c>
      <c r="Y10" s="54" t="e">
        <f>IF(AND('Administrativo '!#REF!="Muy Alta",'Administrativo '!#REF!="Moderado"),CONCATENATE("R5C",'Administrativo '!#REF!),"")</f>
        <v>#REF!</v>
      </c>
      <c r="Z10" s="54" t="e">
        <f>IF(AND('Administrativo '!#REF!="Muy Alta",'Administrativo '!#REF!="Moderado"),CONCATENATE("R5C",'Administrativo '!#REF!),"")</f>
        <v>#REF!</v>
      </c>
      <c r="AA10" s="55" t="e">
        <f>IF(AND('Administrativo '!#REF!="Muy Alta",'Administrativo '!#REF!="Moderado"),CONCATENATE("R5C",'Administrativo '!#REF!),"")</f>
        <v>#REF!</v>
      </c>
      <c r="AB10" s="53" t="e">
        <f>IF(AND('Administrativo '!#REF!="Muy Alta",'Administrativo '!#REF!="Mayor"),CONCATENATE("R5C",'Administrativo '!#REF!),"")</f>
        <v>#REF!</v>
      </c>
      <c r="AC10" s="54" t="e">
        <f>IF(AND('Administrativo '!#REF!="Muy Alta",'Administrativo '!#REF!="Mayor"),CONCATENATE("R5C",'Administrativo '!#REF!),"")</f>
        <v>#REF!</v>
      </c>
      <c r="AD10" s="54" t="e">
        <f>IF(AND('Administrativo '!#REF!="Muy Alta",'Administrativo '!#REF!="Mayor"),CONCATENATE("R5C",'Administrativo '!#REF!),"")</f>
        <v>#REF!</v>
      </c>
      <c r="AE10" s="54" t="e">
        <f>IF(AND('Administrativo '!#REF!="Muy Alta",'Administrativo '!#REF!="Mayor"),CONCATENATE("R5C",'Administrativo '!#REF!),"")</f>
        <v>#REF!</v>
      </c>
      <c r="AF10" s="54" t="e">
        <f>IF(AND('Administrativo '!#REF!="Muy Alta",'Administrativo '!#REF!="Mayor"),CONCATENATE("R5C",'Administrativo '!#REF!),"")</f>
        <v>#REF!</v>
      </c>
      <c r="AG10" s="55" t="e">
        <f>IF(AND('Administrativo '!#REF!="Muy Alta",'Administrativo '!#REF!="Mayor"),CONCATENATE("R5C",'Administrativo '!#REF!),"")</f>
        <v>#REF!</v>
      </c>
      <c r="AH10" s="56" t="e">
        <f>IF(AND('Administrativo '!#REF!="Muy Alta",'Administrativo '!#REF!="Catastrófico"),CONCATENATE("R5C",'Administrativo '!#REF!),"")</f>
        <v>#REF!</v>
      </c>
      <c r="AI10" s="57" t="e">
        <f>IF(AND('Administrativo '!#REF!="Muy Alta",'Administrativo '!#REF!="Catastrófico"),CONCATENATE("R5C",'Administrativo '!#REF!),"")</f>
        <v>#REF!</v>
      </c>
      <c r="AJ10" s="57" t="e">
        <f>IF(AND('Administrativo '!#REF!="Muy Alta",'Administrativo '!#REF!="Catastrófico"),CONCATENATE("R5C",'Administrativo '!#REF!),"")</f>
        <v>#REF!</v>
      </c>
      <c r="AK10" s="57" t="e">
        <f>IF(AND('Administrativo '!#REF!="Muy Alta",'Administrativo '!#REF!="Catastrófico"),CONCATENATE("R5C",'Administrativo '!#REF!),"")</f>
        <v>#REF!</v>
      </c>
      <c r="AL10" s="57" t="e">
        <f>IF(AND('Administrativo '!#REF!="Muy Alta",'Administrativo '!#REF!="Catastrófico"),CONCATENATE("R5C",'Administrativo '!#REF!),"")</f>
        <v>#REF!</v>
      </c>
      <c r="AM10" s="58" t="e">
        <f>IF(AND('Administrativo '!#REF!="Muy Alta",'Administrativo '!#REF!="Catastrófico"),CONCATENATE("R5C",'Administrativo '!#REF!),"")</f>
        <v>#REF!</v>
      </c>
      <c r="AN10" s="84"/>
      <c r="AO10" s="422"/>
      <c r="AP10" s="423"/>
      <c r="AQ10" s="423"/>
      <c r="AR10" s="423"/>
      <c r="AS10" s="423"/>
      <c r="AT10" s="42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361"/>
      <c r="C11" s="361"/>
      <c r="D11" s="362"/>
      <c r="E11" s="402"/>
      <c r="F11" s="403"/>
      <c r="G11" s="403"/>
      <c r="H11" s="403"/>
      <c r="I11" s="404"/>
      <c r="J11" s="53" t="e">
        <f>IF(AND('Administrativo '!#REF!="Muy Alta",'Administrativo '!#REF!="Leve"),CONCATENATE("R6C",'Administrativo '!#REF!),"")</f>
        <v>#REF!</v>
      </c>
      <c r="K11" s="54" t="e">
        <f>IF(AND('Administrativo '!#REF!="Muy Alta",'Administrativo '!#REF!="Leve"),CONCATENATE("R6C",'Administrativo '!#REF!),"")</f>
        <v>#REF!</v>
      </c>
      <c r="L11" s="54" t="e">
        <f>IF(AND('Administrativo '!#REF!="Muy Alta",'Administrativo '!#REF!="Leve"),CONCATENATE("R6C",'Administrativo '!#REF!),"")</f>
        <v>#REF!</v>
      </c>
      <c r="M11" s="54" t="e">
        <f>IF(AND('Administrativo '!#REF!="Muy Alta",'Administrativo '!#REF!="Leve"),CONCATENATE("R6C",'Administrativo '!#REF!),"")</f>
        <v>#REF!</v>
      </c>
      <c r="N11" s="54" t="e">
        <f>IF(AND('Administrativo '!#REF!="Muy Alta",'Administrativo '!#REF!="Leve"),CONCATENATE("R6C",'Administrativo '!#REF!),"")</f>
        <v>#REF!</v>
      </c>
      <c r="O11" s="55" t="e">
        <f>IF(AND('Administrativo '!#REF!="Muy Alta",'Administrativo '!#REF!="Leve"),CONCATENATE("R6C",'Administrativo '!#REF!),"")</f>
        <v>#REF!</v>
      </c>
      <c r="P11" s="53" t="e">
        <f>IF(AND('Administrativo '!#REF!="Muy Alta",'Administrativo '!#REF!="Menor"),CONCATENATE("R6C",'Administrativo '!#REF!),"")</f>
        <v>#REF!</v>
      </c>
      <c r="Q11" s="54" t="e">
        <f>IF(AND('Administrativo '!#REF!="Muy Alta",'Administrativo '!#REF!="Menor"),CONCATENATE("R6C",'Administrativo '!#REF!),"")</f>
        <v>#REF!</v>
      </c>
      <c r="R11" s="54" t="e">
        <f>IF(AND('Administrativo '!#REF!="Muy Alta",'Administrativo '!#REF!="Menor"),CONCATENATE("R6C",'Administrativo '!#REF!),"")</f>
        <v>#REF!</v>
      </c>
      <c r="S11" s="54" t="e">
        <f>IF(AND('Administrativo '!#REF!="Muy Alta",'Administrativo '!#REF!="Menor"),CONCATENATE("R6C",'Administrativo '!#REF!),"")</f>
        <v>#REF!</v>
      </c>
      <c r="T11" s="54" t="e">
        <f>IF(AND('Administrativo '!#REF!="Muy Alta",'Administrativo '!#REF!="Menor"),CONCATENATE("R6C",'Administrativo '!#REF!),"")</f>
        <v>#REF!</v>
      </c>
      <c r="U11" s="55" t="e">
        <f>IF(AND('Administrativo '!#REF!="Muy Alta",'Administrativo '!#REF!="Menor"),CONCATENATE("R6C",'Administrativo '!#REF!),"")</f>
        <v>#REF!</v>
      </c>
      <c r="V11" s="53" t="e">
        <f>IF(AND('Administrativo '!#REF!="Muy Alta",'Administrativo '!#REF!="Moderado"),CONCATENATE("R6C",'Administrativo '!#REF!),"")</f>
        <v>#REF!</v>
      </c>
      <c r="W11" s="54" t="e">
        <f>IF(AND('Administrativo '!#REF!="Muy Alta",'Administrativo '!#REF!="Moderado"),CONCATENATE("R6C",'Administrativo '!#REF!),"")</f>
        <v>#REF!</v>
      </c>
      <c r="X11" s="54" t="e">
        <f>IF(AND('Administrativo '!#REF!="Muy Alta",'Administrativo '!#REF!="Moderado"),CONCATENATE("R6C",'Administrativo '!#REF!),"")</f>
        <v>#REF!</v>
      </c>
      <c r="Y11" s="54" t="e">
        <f>IF(AND('Administrativo '!#REF!="Muy Alta",'Administrativo '!#REF!="Moderado"),CONCATENATE("R6C",'Administrativo '!#REF!),"")</f>
        <v>#REF!</v>
      </c>
      <c r="Z11" s="54" t="e">
        <f>IF(AND('Administrativo '!#REF!="Muy Alta",'Administrativo '!#REF!="Moderado"),CONCATENATE("R6C",'Administrativo '!#REF!),"")</f>
        <v>#REF!</v>
      </c>
      <c r="AA11" s="55" t="e">
        <f>IF(AND('Administrativo '!#REF!="Muy Alta",'Administrativo '!#REF!="Moderado"),CONCATENATE("R6C",'Administrativo '!#REF!),"")</f>
        <v>#REF!</v>
      </c>
      <c r="AB11" s="53" t="e">
        <f>IF(AND('Administrativo '!#REF!="Muy Alta",'Administrativo '!#REF!="Mayor"),CONCATENATE("R6C",'Administrativo '!#REF!),"")</f>
        <v>#REF!</v>
      </c>
      <c r="AC11" s="54" t="e">
        <f>IF(AND('Administrativo '!#REF!="Muy Alta",'Administrativo '!#REF!="Mayor"),CONCATENATE("R6C",'Administrativo '!#REF!),"")</f>
        <v>#REF!</v>
      </c>
      <c r="AD11" s="54" t="e">
        <f>IF(AND('Administrativo '!#REF!="Muy Alta",'Administrativo '!#REF!="Mayor"),CONCATENATE("R6C",'Administrativo '!#REF!),"")</f>
        <v>#REF!</v>
      </c>
      <c r="AE11" s="54" t="e">
        <f>IF(AND('Administrativo '!#REF!="Muy Alta",'Administrativo '!#REF!="Mayor"),CONCATENATE("R6C",'Administrativo '!#REF!),"")</f>
        <v>#REF!</v>
      </c>
      <c r="AF11" s="54" t="e">
        <f>IF(AND('Administrativo '!#REF!="Muy Alta",'Administrativo '!#REF!="Mayor"),CONCATENATE("R6C",'Administrativo '!#REF!),"")</f>
        <v>#REF!</v>
      </c>
      <c r="AG11" s="55" t="e">
        <f>IF(AND('Administrativo '!#REF!="Muy Alta",'Administrativo '!#REF!="Mayor"),CONCATENATE("R6C",'Administrativo '!#REF!),"")</f>
        <v>#REF!</v>
      </c>
      <c r="AH11" s="56" t="e">
        <f>IF(AND('Administrativo '!#REF!="Muy Alta",'Administrativo '!#REF!="Catastrófico"),CONCATENATE("R6C",'Administrativo '!#REF!),"")</f>
        <v>#REF!</v>
      </c>
      <c r="AI11" s="57" t="e">
        <f>IF(AND('Administrativo '!#REF!="Muy Alta",'Administrativo '!#REF!="Catastrófico"),CONCATENATE("R6C",'Administrativo '!#REF!),"")</f>
        <v>#REF!</v>
      </c>
      <c r="AJ11" s="57" t="e">
        <f>IF(AND('Administrativo '!#REF!="Muy Alta",'Administrativo '!#REF!="Catastrófico"),CONCATENATE("R6C",'Administrativo '!#REF!),"")</f>
        <v>#REF!</v>
      </c>
      <c r="AK11" s="57" t="e">
        <f>IF(AND('Administrativo '!#REF!="Muy Alta",'Administrativo '!#REF!="Catastrófico"),CONCATENATE("R6C",'Administrativo '!#REF!),"")</f>
        <v>#REF!</v>
      </c>
      <c r="AL11" s="57" t="e">
        <f>IF(AND('Administrativo '!#REF!="Muy Alta",'Administrativo '!#REF!="Catastrófico"),CONCATENATE("R6C",'Administrativo '!#REF!),"")</f>
        <v>#REF!</v>
      </c>
      <c r="AM11" s="58" t="e">
        <f>IF(AND('Administrativo '!#REF!="Muy Alta",'Administrativo '!#REF!="Catastrófico"),CONCATENATE("R6C",'Administrativo '!#REF!),"")</f>
        <v>#REF!</v>
      </c>
      <c r="AN11" s="84"/>
      <c r="AO11" s="422"/>
      <c r="AP11" s="423"/>
      <c r="AQ11" s="423"/>
      <c r="AR11" s="423"/>
      <c r="AS11" s="423"/>
      <c r="AT11" s="42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361"/>
      <c r="C12" s="361"/>
      <c r="D12" s="362"/>
      <c r="E12" s="402"/>
      <c r="F12" s="403"/>
      <c r="G12" s="403"/>
      <c r="H12" s="403"/>
      <c r="I12" s="404"/>
      <c r="J12" s="53" t="e">
        <f>IF(AND('Administrativo '!#REF!="Muy Alta",'Administrativo '!#REF!="Leve"),CONCATENATE("R7C",'Administrativo '!#REF!),"")</f>
        <v>#REF!</v>
      </c>
      <c r="K12" s="54" t="e">
        <f>IF(AND('Administrativo '!#REF!="Muy Alta",'Administrativo '!#REF!="Leve"),CONCATENATE("R7C",'Administrativo '!#REF!),"")</f>
        <v>#REF!</v>
      </c>
      <c r="L12" s="54" t="e">
        <f>IF(AND('Administrativo '!#REF!="Muy Alta",'Administrativo '!#REF!="Leve"),CONCATENATE("R7C",'Administrativo '!#REF!),"")</f>
        <v>#REF!</v>
      </c>
      <c r="M12" s="54" t="e">
        <f>IF(AND('Administrativo '!#REF!="Muy Alta",'Administrativo '!#REF!="Leve"),CONCATENATE("R7C",'Administrativo '!#REF!),"")</f>
        <v>#REF!</v>
      </c>
      <c r="N12" s="54" t="e">
        <f>IF(AND('Administrativo '!#REF!="Muy Alta",'Administrativo '!#REF!="Leve"),CONCATENATE("R7C",'Administrativo '!#REF!),"")</f>
        <v>#REF!</v>
      </c>
      <c r="O12" s="55" t="e">
        <f>IF(AND('Administrativo '!#REF!="Muy Alta",'Administrativo '!#REF!="Leve"),CONCATENATE("R7C",'Administrativo '!#REF!),"")</f>
        <v>#REF!</v>
      </c>
      <c r="P12" s="53" t="e">
        <f>IF(AND('Administrativo '!#REF!="Muy Alta",'Administrativo '!#REF!="Menor"),CONCATENATE("R7C",'Administrativo '!#REF!),"")</f>
        <v>#REF!</v>
      </c>
      <c r="Q12" s="54" t="e">
        <f>IF(AND('Administrativo '!#REF!="Muy Alta",'Administrativo '!#REF!="Menor"),CONCATENATE("R7C",'Administrativo '!#REF!),"")</f>
        <v>#REF!</v>
      </c>
      <c r="R12" s="54" t="e">
        <f>IF(AND('Administrativo '!#REF!="Muy Alta",'Administrativo '!#REF!="Menor"),CONCATENATE("R7C",'Administrativo '!#REF!),"")</f>
        <v>#REF!</v>
      </c>
      <c r="S12" s="54" t="e">
        <f>IF(AND('Administrativo '!#REF!="Muy Alta",'Administrativo '!#REF!="Menor"),CONCATENATE("R7C",'Administrativo '!#REF!),"")</f>
        <v>#REF!</v>
      </c>
      <c r="T12" s="54" t="e">
        <f>IF(AND('Administrativo '!#REF!="Muy Alta",'Administrativo '!#REF!="Menor"),CONCATENATE("R7C",'Administrativo '!#REF!),"")</f>
        <v>#REF!</v>
      </c>
      <c r="U12" s="55" t="e">
        <f>IF(AND('Administrativo '!#REF!="Muy Alta",'Administrativo '!#REF!="Menor"),CONCATENATE("R7C",'Administrativo '!#REF!),"")</f>
        <v>#REF!</v>
      </c>
      <c r="V12" s="53" t="e">
        <f>IF(AND('Administrativo '!#REF!="Muy Alta",'Administrativo '!#REF!="Moderado"),CONCATENATE("R7C",'Administrativo '!#REF!),"")</f>
        <v>#REF!</v>
      </c>
      <c r="W12" s="54" t="e">
        <f>IF(AND('Administrativo '!#REF!="Muy Alta",'Administrativo '!#REF!="Moderado"),CONCATENATE("R7C",'Administrativo '!#REF!),"")</f>
        <v>#REF!</v>
      </c>
      <c r="X12" s="54" t="e">
        <f>IF(AND('Administrativo '!#REF!="Muy Alta",'Administrativo '!#REF!="Moderado"),CONCATENATE("R7C",'Administrativo '!#REF!),"")</f>
        <v>#REF!</v>
      </c>
      <c r="Y12" s="54" t="e">
        <f>IF(AND('Administrativo '!#REF!="Muy Alta",'Administrativo '!#REF!="Moderado"),CONCATENATE("R7C",'Administrativo '!#REF!),"")</f>
        <v>#REF!</v>
      </c>
      <c r="Z12" s="54" t="e">
        <f>IF(AND('Administrativo '!#REF!="Muy Alta",'Administrativo '!#REF!="Moderado"),CONCATENATE("R7C",'Administrativo '!#REF!),"")</f>
        <v>#REF!</v>
      </c>
      <c r="AA12" s="55" t="e">
        <f>IF(AND('Administrativo '!#REF!="Muy Alta",'Administrativo '!#REF!="Moderado"),CONCATENATE("R7C",'Administrativo '!#REF!),"")</f>
        <v>#REF!</v>
      </c>
      <c r="AB12" s="53" t="e">
        <f>IF(AND('Administrativo '!#REF!="Muy Alta",'Administrativo '!#REF!="Mayor"),CONCATENATE("R7C",'Administrativo '!#REF!),"")</f>
        <v>#REF!</v>
      </c>
      <c r="AC12" s="54" t="e">
        <f>IF(AND('Administrativo '!#REF!="Muy Alta",'Administrativo '!#REF!="Mayor"),CONCATENATE("R7C",'Administrativo '!#REF!),"")</f>
        <v>#REF!</v>
      </c>
      <c r="AD12" s="54" t="e">
        <f>IF(AND('Administrativo '!#REF!="Muy Alta",'Administrativo '!#REF!="Mayor"),CONCATENATE("R7C",'Administrativo '!#REF!),"")</f>
        <v>#REF!</v>
      </c>
      <c r="AE12" s="54" t="e">
        <f>IF(AND('Administrativo '!#REF!="Muy Alta",'Administrativo '!#REF!="Mayor"),CONCATENATE("R7C",'Administrativo '!#REF!),"")</f>
        <v>#REF!</v>
      </c>
      <c r="AF12" s="54" t="e">
        <f>IF(AND('Administrativo '!#REF!="Muy Alta",'Administrativo '!#REF!="Mayor"),CONCATENATE("R7C",'Administrativo '!#REF!),"")</f>
        <v>#REF!</v>
      </c>
      <c r="AG12" s="55" t="e">
        <f>IF(AND('Administrativo '!#REF!="Muy Alta",'Administrativo '!#REF!="Mayor"),CONCATENATE("R7C",'Administrativo '!#REF!),"")</f>
        <v>#REF!</v>
      </c>
      <c r="AH12" s="56" t="e">
        <f>IF(AND('Administrativo '!#REF!="Muy Alta",'Administrativo '!#REF!="Catastrófico"),CONCATENATE("R7C",'Administrativo '!#REF!),"")</f>
        <v>#REF!</v>
      </c>
      <c r="AI12" s="57" t="e">
        <f>IF(AND('Administrativo '!#REF!="Muy Alta",'Administrativo '!#REF!="Catastrófico"),CONCATENATE("R7C",'Administrativo '!#REF!),"")</f>
        <v>#REF!</v>
      </c>
      <c r="AJ12" s="57" t="e">
        <f>IF(AND('Administrativo '!#REF!="Muy Alta",'Administrativo '!#REF!="Catastrófico"),CONCATENATE("R7C",'Administrativo '!#REF!),"")</f>
        <v>#REF!</v>
      </c>
      <c r="AK12" s="57" t="e">
        <f>IF(AND('Administrativo '!#REF!="Muy Alta",'Administrativo '!#REF!="Catastrófico"),CONCATENATE("R7C",'Administrativo '!#REF!),"")</f>
        <v>#REF!</v>
      </c>
      <c r="AL12" s="57" t="e">
        <f>IF(AND('Administrativo '!#REF!="Muy Alta",'Administrativo '!#REF!="Catastrófico"),CONCATENATE("R7C",'Administrativo '!#REF!),"")</f>
        <v>#REF!</v>
      </c>
      <c r="AM12" s="58" t="e">
        <f>IF(AND('Administrativo '!#REF!="Muy Alta",'Administrativo '!#REF!="Catastrófico"),CONCATENATE("R7C",'Administrativo '!#REF!),"")</f>
        <v>#REF!</v>
      </c>
      <c r="AN12" s="84"/>
      <c r="AO12" s="422"/>
      <c r="AP12" s="423"/>
      <c r="AQ12" s="423"/>
      <c r="AR12" s="423"/>
      <c r="AS12" s="423"/>
      <c r="AT12" s="42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361"/>
      <c r="C13" s="361"/>
      <c r="D13" s="362"/>
      <c r="E13" s="402"/>
      <c r="F13" s="403"/>
      <c r="G13" s="403"/>
      <c r="H13" s="403"/>
      <c r="I13" s="404"/>
      <c r="J13" s="53" t="e">
        <f>IF(AND('Administrativo '!#REF!="Muy Alta",'Administrativo '!#REF!="Leve"),CONCATENATE("R8C",'Administrativo '!#REF!),"")</f>
        <v>#REF!</v>
      </c>
      <c r="K13" s="54" t="e">
        <f>IF(AND('Administrativo '!#REF!="Muy Alta",'Administrativo '!#REF!="Leve"),CONCATENATE("R8C",'Administrativo '!#REF!),"")</f>
        <v>#REF!</v>
      </c>
      <c r="L13" s="54" t="e">
        <f>IF(AND('Administrativo '!#REF!="Muy Alta",'Administrativo '!#REF!="Leve"),CONCATENATE("R8C",'Administrativo '!#REF!),"")</f>
        <v>#REF!</v>
      </c>
      <c r="M13" s="54" t="e">
        <f>IF(AND('Administrativo '!#REF!="Muy Alta",'Administrativo '!#REF!="Leve"),CONCATENATE("R8C",'Administrativo '!#REF!),"")</f>
        <v>#REF!</v>
      </c>
      <c r="N13" s="54" t="e">
        <f>IF(AND('Administrativo '!#REF!="Muy Alta",'Administrativo '!#REF!="Leve"),CONCATENATE("R8C",'Administrativo '!#REF!),"")</f>
        <v>#REF!</v>
      </c>
      <c r="O13" s="55" t="e">
        <f>IF(AND('Administrativo '!#REF!="Muy Alta",'Administrativo '!#REF!="Leve"),CONCATENATE("R8C",'Administrativo '!#REF!),"")</f>
        <v>#REF!</v>
      </c>
      <c r="P13" s="53" t="e">
        <f>IF(AND('Administrativo '!#REF!="Muy Alta",'Administrativo '!#REF!="Menor"),CONCATENATE("R8C",'Administrativo '!#REF!),"")</f>
        <v>#REF!</v>
      </c>
      <c r="Q13" s="54" t="e">
        <f>IF(AND('Administrativo '!#REF!="Muy Alta",'Administrativo '!#REF!="Menor"),CONCATENATE("R8C",'Administrativo '!#REF!),"")</f>
        <v>#REF!</v>
      </c>
      <c r="R13" s="54" t="e">
        <f>IF(AND('Administrativo '!#REF!="Muy Alta",'Administrativo '!#REF!="Menor"),CONCATENATE("R8C",'Administrativo '!#REF!),"")</f>
        <v>#REF!</v>
      </c>
      <c r="S13" s="54" t="e">
        <f>IF(AND('Administrativo '!#REF!="Muy Alta",'Administrativo '!#REF!="Menor"),CONCATENATE("R8C",'Administrativo '!#REF!),"")</f>
        <v>#REF!</v>
      </c>
      <c r="T13" s="54" t="e">
        <f>IF(AND('Administrativo '!#REF!="Muy Alta",'Administrativo '!#REF!="Menor"),CONCATENATE("R8C",'Administrativo '!#REF!),"")</f>
        <v>#REF!</v>
      </c>
      <c r="U13" s="55" t="e">
        <f>IF(AND('Administrativo '!#REF!="Muy Alta",'Administrativo '!#REF!="Menor"),CONCATENATE("R8C",'Administrativo '!#REF!),"")</f>
        <v>#REF!</v>
      </c>
      <c r="V13" s="53" t="e">
        <f>IF(AND('Administrativo '!#REF!="Muy Alta",'Administrativo '!#REF!="Moderado"),CONCATENATE("R8C",'Administrativo '!#REF!),"")</f>
        <v>#REF!</v>
      </c>
      <c r="W13" s="54" t="e">
        <f>IF(AND('Administrativo '!#REF!="Muy Alta",'Administrativo '!#REF!="Moderado"),CONCATENATE("R8C",'Administrativo '!#REF!),"")</f>
        <v>#REF!</v>
      </c>
      <c r="X13" s="54" t="e">
        <f>IF(AND('Administrativo '!#REF!="Muy Alta",'Administrativo '!#REF!="Moderado"),CONCATENATE("R8C",'Administrativo '!#REF!),"")</f>
        <v>#REF!</v>
      </c>
      <c r="Y13" s="54" t="e">
        <f>IF(AND('Administrativo '!#REF!="Muy Alta",'Administrativo '!#REF!="Moderado"),CONCATENATE("R8C",'Administrativo '!#REF!),"")</f>
        <v>#REF!</v>
      </c>
      <c r="Z13" s="54" t="e">
        <f>IF(AND('Administrativo '!#REF!="Muy Alta",'Administrativo '!#REF!="Moderado"),CONCATENATE("R8C",'Administrativo '!#REF!),"")</f>
        <v>#REF!</v>
      </c>
      <c r="AA13" s="55" t="e">
        <f>IF(AND('Administrativo '!#REF!="Muy Alta",'Administrativo '!#REF!="Moderado"),CONCATENATE("R8C",'Administrativo '!#REF!),"")</f>
        <v>#REF!</v>
      </c>
      <c r="AB13" s="53" t="e">
        <f>IF(AND('Administrativo '!#REF!="Muy Alta",'Administrativo '!#REF!="Mayor"),CONCATENATE("R8C",'Administrativo '!#REF!),"")</f>
        <v>#REF!</v>
      </c>
      <c r="AC13" s="54" t="e">
        <f>IF(AND('Administrativo '!#REF!="Muy Alta",'Administrativo '!#REF!="Mayor"),CONCATENATE("R8C",'Administrativo '!#REF!),"")</f>
        <v>#REF!</v>
      </c>
      <c r="AD13" s="54" t="e">
        <f>IF(AND('Administrativo '!#REF!="Muy Alta",'Administrativo '!#REF!="Mayor"),CONCATENATE("R8C",'Administrativo '!#REF!),"")</f>
        <v>#REF!</v>
      </c>
      <c r="AE13" s="54" t="e">
        <f>IF(AND('Administrativo '!#REF!="Muy Alta",'Administrativo '!#REF!="Mayor"),CONCATENATE("R8C",'Administrativo '!#REF!),"")</f>
        <v>#REF!</v>
      </c>
      <c r="AF13" s="54" t="e">
        <f>IF(AND('Administrativo '!#REF!="Muy Alta",'Administrativo '!#REF!="Mayor"),CONCATENATE("R8C",'Administrativo '!#REF!),"")</f>
        <v>#REF!</v>
      </c>
      <c r="AG13" s="55" t="e">
        <f>IF(AND('Administrativo '!#REF!="Muy Alta",'Administrativo '!#REF!="Mayor"),CONCATENATE("R8C",'Administrativo '!#REF!),"")</f>
        <v>#REF!</v>
      </c>
      <c r="AH13" s="56" t="e">
        <f>IF(AND('Administrativo '!#REF!="Muy Alta",'Administrativo '!#REF!="Catastrófico"),CONCATENATE("R8C",'Administrativo '!#REF!),"")</f>
        <v>#REF!</v>
      </c>
      <c r="AI13" s="57" t="e">
        <f>IF(AND('Administrativo '!#REF!="Muy Alta",'Administrativo '!#REF!="Catastrófico"),CONCATENATE("R8C",'Administrativo '!#REF!),"")</f>
        <v>#REF!</v>
      </c>
      <c r="AJ13" s="57" t="e">
        <f>IF(AND('Administrativo '!#REF!="Muy Alta",'Administrativo '!#REF!="Catastrófico"),CONCATENATE("R8C",'Administrativo '!#REF!),"")</f>
        <v>#REF!</v>
      </c>
      <c r="AK13" s="57" t="e">
        <f>IF(AND('Administrativo '!#REF!="Muy Alta",'Administrativo '!#REF!="Catastrófico"),CONCATENATE("R8C",'Administrativo '!#REF!),"")</f>
        <v>#REF!</v>
      </c>
      <c r="AL13" s="57" t="e">
        <f>IF(AND('Administrativo '!#REF!="Muy Alta",'Administrativo '!#REF!="Catastrófico"),CONCATENATE("R8C",'Administrativo '!#REF!),"")</f>
        <v>#REF!</v>
      </c>
      <c r="AM13" s="58" t="e">
        <f>IF(AND('Administrativo '!#REF!="Muy Alta",'Administrativo '!#REF!="Catastrófico"),CONCATENATE("R8C",'Administrativo '!#REF!),"")</f>
        <v>#REF!</v>
      </c>
      <c r="AN13" s="84"/>
      <c r="AO13" s="422"/>
      <c r="AP13" s="423"/>
      <c r="AQ13" s="423"/>
      <c r="AR13" s="423"/>
      <c r="AS13" s="423"/>
      <c r="AT13" s="42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361"/>
      <c r="C14" s="361"/>
      <c r="D14" s="362"/>
      <c r="E14" s="402"/>
      <c r="F14" s="403"/>
      <c r="G14" s="403"/>
      <c r="H14" s="403"/>
      <c r="I14" s="404"/>
      <c r="J14" s="53" t="e">
        <f>IF(AND('Administrativo '!#REF!="Muy Alta",'Administrativo '!#REF!="Leve"),CONCATENATE("R9C",'Administrativo '!#REF!),"")</f>
        <v>#REF!</v>
      </c>
      <c r="K14" s="54" t="e">
        <f>IF(AND('Administrativo '!#REF!="Muy Alta",'Administrativo '!#REF!="Leve"),CONCATENATE("R9C",'Administrativo '!#REF!),"")</f>
        <v>#REF!</v>
      </c>
      <c r="L14" s="54" t="e">
        <f>IF(AND('Administrativo '!#REF!="Muy Alta",'Administrativo '!#REF!="Leve"),CONCATENATE("R9C",'Administrativo '!#REF!),"")</f>
        <v>#REF!</v>
      </c>
      <c r="M14" s="54" t="e">
        <f>IF(AND('Administrativo '!#REF!="Muy Alta",'Administrativo '!#REF!="Leve"),CONCATENATE("R9C",'Administrativo '!#REF!),"")</f>
        <v>#REF!</v>
      </c>
      <c r="N14" s="54" t="e">
        <f>IF(AND('Administrativo '!#REF!="Muy Alta",'Administrativo '!#REF!="Leve"),CONCATENATE("R9C",'Administrativo '!#REF!),"")</f>
        <v>#REF!</v>
      </c>
      <c r="O14" s="55" t="e">
        <f>IF(AND('Administrativo '!#REF!="Muy Alta",'Administrativo '!#REF!="Leve"),CONCATENATE("R9C",'Administrativo '!#REF!),"")</f>
        <v>#REF!</v>
      </c>
      <c r="P14" s="53" t="e">
        <f>IF(AND('Administrativo '!#REF!="Muy Alta",'Administrativo '!#REF!="Menor"),CONCATENATE("R9C",'Administrativo '!#REF!),"")</f>
        <v>#REF!</v>
      </c>
      <c r="Q14" s="54" t="e">
        <f>IF(AND('Administrativo '!#REF!="Muy Alta",'Administrativo '!#REF!="Menor"),CONCATENATE("R9C",'Administrativo '!#REF!),"")</f>
        <v>#REF!</v>
      </c>
      <c r="R14" s="54" t="e">
        <f>IF(AND('Administrativo '!#REF!="Muy Alta",'Administrativo '!#REF!="Menor"),CONCATENATE("R9C",'Administrativo '!#REF!),"")</f>
        <v>#REF!</v>
      </c>
      <c r="S14" s="54" t="e">
        <f>IF(AND('Administrativo '!#REF!="Muy Alta",'Administrativo '!#REF!="Menor"),CONCATENATE("R9C",'Administrativo '!#REF!),"")</f>
        <v>#REF!</v>
      </c>
      <c r="T14" s="54" t="e">
        <f>IF(AND('Administrativo '!#REF!="Muy Alta",'Administrativo '!#REF!="Menor"),CONCATENATE("R9C",'Administrativo '!#REF!),"")</f>
        <v>#REF!</v>
      </c>
      <c r="U14" s="55" t="e">
        <f>IF(AND('Administrativo '!#REF!="Muy Alta",'Administrativo '!#REF!="Menor"),CONCATENATE("R9C",'Administrativo '!#REF!),"")</f>
        <v>#REF!</v>
      </c>
      <c r="V14" s="53" t="e">
        <f>IF(AND('Administrativo '!#REF!="Muy Alta",'Administrativo '!#REF!="Moderado"),CONCATENATE("R9C",'Administrativo '!#REF!),"")</f>
        <v>#REF!</v>
      </c>
      <c r="W14" s="54" t="e">
        <f>IF(AND('Administrativo '!#REF!="Muy Alta",'Administrativo '!#REF!="Moderado"),CONCATENATE("R9C",'Administrativo '!#REF!),"")</f>
        <v>#REF!</v>
      </c>
      <c r="X14" s="54" t="e">
        <f>IF(AND('Administrativo '!#REF!="Muy Alta",'Administrativo '!#REF!="Moderado"),CONCATENATE("R9C",'Administrativo '!#REF!),"")</f>
        <v>#REF!</v>
      </c>
      <c r="Y14" s="54" t="e">
        <f>IF(AND('Administrativo '!#REF!="Muy Alta",'Administrativo '!#REF!="Moderado"),CONCATENATE("R9C",'Administrativo '!#REF!),"")</f>
        <v>#REF!</v>
      </c>
      <c r="Z14" s="54" t="e">
        <f>IF(AND('Administrativo '!#REF!="Muy Alta",'Administrativo '!#REF!="Moderado"),CONCATENATE("R9C",'Administrativo '!#REF!),"")</f>
        <v>#REF!</v>
      </c>
      <c r="AA14" s="55" t="e">
        <f>IF(AND('Administrativo '!#REF!="Muy Alta",'Administrativo '!#REF!="Moderado"),CONCATENATE("R9C",'Administrativo '!#REF!),"")</f>
        <v>#REF!</v>
      </c>
      <c r="AB14" s="53" t="e">
        <f>IF(AND('Administrativo '!#REF!="Muy Alta",'Administrativo '!#REF!="Mayor"),CONCATENATE("R9C",'Administrativo '!#REF!),"")</f>
        <v>#REF!</v>
      </c>
      <c r="AC14" s="54" t="e">
        <f>IF(AND('Administrativo '!#REF!="Muy Alta",'Administrativo '!#REF!="Mayor"),CONCATENATE("R9C",'Administrativo '!#REF!),"")</f>
        <v>#REF!</v>
      </c>
      <c r="AD14" s="54" t="e">
        <f>IF(AND('Administrativo '!#REF!="Muy Alta",'Administrativo '!#REF!="Mayor"),CONCATENATE("R9C",'Administrativo '!#REF!),"")</f>
        <v>#REF!</v>
      </c>
      <c r="AE14" s="54" t="e">
        <f>IF(AND('Administrativo '!#REF!="Muy Alta",'Administrativo '!#REF!="Mayor"),CONCATENATE("R9C",'Administrativo '!#REF!),"")</f>
        <v>#REF!</v>
      </c>
      <c r="AF14" s="54" t="e">
        <f>IF(AND('Administrativo '!#REF!="Muy Alta",'Administrativo '!#REF!="Mayor"),CONCATENATE("R9C",'Administrativo '!#REF!),"")</f>
        <v>#REF!</v>
      </c>
      <c r="AG14" s="55" t="e">
        <f>IF(AND('Administrativo '!#REF!="Muy Alta",'Administrativo '!#REF!="Mayor"),CONCATENATE("R9C",'Administrativo '!#REF!),"")</f>
        <v>#REF!</v>
      </c>
      <c r="AH14" s="56" t="e">
        <f>IF(AND('Administrativo '!#REF!="Muy Alta",'Administrativo '!#REF!="Catastrófico"),CONCATENATE("R9C",'Administrativo '!#REF!),"")</f>
        <v>#REF!</v>
      </c>
      <c r="AI14" s="57" t="e">
        <f>IF(AND('Administrativo '!#REF!="Muy Alta",'Administrativo '!#REF!="Catastrófico"),CONCATENATE("R9C",'Administrativo '!#REF!),"")</f>
        <v>#REF!</v>
      </c>
      <c r="AJ14" s="57" t="e">
        <f>IF(AND('Administrativo '!#REF!="Muy Alta",'Administrativo '!#REF!="Catastrófico"),CONCATENATE("R9C",'Administrativo '!#REF!),"")</f>
        <v>#REF!</v>
      </c>
      <c r="AK14" s="57" t="e">
        <f>IF(AND('Administrativo '!#REF!="Muy Alta",'Administrativo '!#REF!="Catastrófico"),CONCATENATE("R9C",'Administrativo '!#REF!),"")</f>
        <v>#REF!</v>
      </c>
      <c r="AL14" s="57" t="e">
        <f>IF(AND('Administrativo '!#REF!="Muy Alta",'Administrativo '!#REF!="Catastrófico"),CONCATENATE("R9C",'Administrativo '!#REF!),"")</f>
        <v>#REF!</v>
      </c>
      <c r="AM14" s="58" t="e">
        <f>IF(AND('Administrativo '!#REF!="Muy Alta",'Administrativo '!#REF!="Catastrófico"),CONCATENATE("R9C",'Administrativo '!#REF!),"")</f>
        <v>#REF!</v>
      </c>
      <c r="AN14" s="84"/>
      <c r="AO14" s="422"/>
      <c r="AP14" s="423"/>
      <c r="AQ14" s="423"/>
      <c r="AR14" s="423"/>
      <c r="AS14" s="423"/>
      <c r="AT14" s="42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361"/>
      <c r="C15" s="361"/>
      <c r="D15" s="362"/>
      <c r="E15" s="405"/>
      <c r="F15" s="406"/>
      <c r="G15" s="406"/>
      <c r="H15" s="406"/>
      <c r="I15" s="407"/>
      <c r="J15" s="59" t="e">
        <f>IF(AND('Administrativo '!#REF!="Muy Alta",'Administrativo '!#REF!="Leve"),CONCATENATE("R10C",'Administrativo '!#REF!),"")</f>
        <v>#REF!</v>
      </c>
      <c r="K15" s="60" t="e">
        <f>IF(AND('Administrativo '!#REF!="Muy Alta",'Administrativo '!#REF!="Leve"),CONCATENATE("R10C",'Administrativo '!#REF!),"")</f>
        <v>#REF!</v>
      </c>
      <c r="L15" s="60" t="e">
        <f>IF(AND('Administrativo '!#REF!="Muy Alta",'Administrativo '!#REF!="Leve"),CONCATENATE("R10C",'Administrativo '!#REF!),"")</f>
        <v>#REF!</v>
      </c>
      <c r="M15" s="60" t="e">
        <f>IF(AND('Administrativo '!#REF!="Muy Alta",'Administrativo '!#REF!="Leve"),CONCATENATE("R10C",'Administrativo '!#REF!),"")</f>
        <v>#REF!</v>
      </c>
      <c r="N15" s="60" t="e">
        <f>IF(AND('Administrativo '!#REF!="Muy Alta",'Administrativo '!#REF!="Leve"),CONCATENATE("R10C",'Administrativo '!#REF!),"")</f>
        <v>#REF!</v>
      </c>
      <c r="O15" s="61" t="e">
        <f>IF(AND('Administrativo '!#REF!="Muy Alta",'Administrativo '!#REF!="Leve"),CONCATENATE("R10C",'Administrativo '!#REF!),"")</f>
        <v>#REF!</v>
      </c>
      <c r="P15" s="53" t="e">
        <f>IF(AND('Administrativo '!#REF!="Muy Alta",'Administrativo '!#REF!="Menor"),CONCATENATE("R10C",'Administrativo '!#REF!),"")</f>
        <v>#REF!</v>
      </c>
      <c r="Q15" s="54" t="e">
        <f>IF(AND('Administrativo '!#REF!="Muy Alta",'Administrativo '!#REF!="Menor"),CONCATENATE("R10C",'Administrativo '!#REF!),"")</f>
        <v>#REF!</v>
      </c>
      <c r="R15" s="54" t="e">
        <f>IF(AND('Administrativo '!#REF!="Muy Alta",'Administrativo '!#REF!="Menor"),CONCATENATE("R10C",'Administrativo '!#REF!),"")</f>
        <v>#REF!</v>
      </c>
      <c r="S15" s="54" t="e">
        <f>IF(AND('Administrativo '!#REF!="Muy Alta",'Administrativo '!#REF!="Menor"),CONCATENATE("R10C",'Administrativo '!#REF!),"")</f>
        <v>#REF!</v>
      </c>
      <c r="T15" s="54" t="e">
        <f>IF(AND('Administrativo '!#REF!="Muy Alta",'Administrativo '!#REF!="Menor"),CONCATENATE("R10C",'Administrativo '!#REF!),"")</f>
        <v>#REF!</v>
      </c>
      <c r="U15" s="55" t="e">
        <f>IF(AND('Administrativo '!#REF!="Muy Alta",'Administrativo '!#REF!="Menor"),CONCATENATE("R10C",'Administrativo '!#REF!),"")</f>
        <v>#REF!</v>
      </c>
      <c r="V15" s="59" t="e">
        <f>IF(AND('Administrativo '!#REF!="Muy Alta",'Administrativo '!#REF!="Moderado"),CONCATENATE("R10C",'Administrativo '!#REF!),"")</f>
        <v>#REF!</v>
      </c>
      <c r="W15" s="60" t="e">
        <f>IF(AND('Administrativo '!#REF!="Muy Alta",'Administrativo '!#REF!="Moderado"),CONCATENATE("R10C",'Administrativo '!#REF!),"")</f>
        <v>#REF!</v>
      </c>
      <c r="X15" s="60" t="e">
        <f>IF(AND('Administrativo '!#REF!="Muy Alta",'Administrativo '!#REF!="Moderado"),CONCATENATE("R10C",'Administrativo '!#REF!),"")</f>
        <v>#REF!</v>
      </c>
      <c r="Y15" s="60" t="e">
        <f>IF(AND('Administrativo '!#REF!="Muy Alta",'Administrativo '!#REF!="Moderado"),CONCATENATE("R10C",'Administrativo '!#REF!),"")</f>
        <v>#REF!</v>
      </c>
      <c r="Z15" s="60" t="e">
        <f>IF(AND('Administrativo '!#REF!="Muy Alta",'Administrativo '!#REF!="Moderado"),CONCATENATE("R10C",'Administrativo '!#REF!),"")</f>
        <v>#REF!</v>
      </c>
      <c r="AA15" s="61" t="e">
        <f>IF(AND('Administrativo '!#REF!="Muy Alta",'Administrativo '!#REF!="Moderado"),CONCATENATE("R10C",'Administrativo '!#REF!),"")</f>
        <v>#REF!</v>
      </c>
      <c r="AB15" s="53" t="e">
        <f>IF(AND('Administrativo '!#REF!="Muy Alta",'Administrativo '!#REF!="Mayor"),CONCATENATE("R10C",'Administrativo '!#REF!),"")</f>
        <v>#REF!</v>
      </c>
      <c r="AC15" s="54" t="e">
        <f>IF(AND('Administrativo '!#REF!="Muy Alta",'Administrativo '!#REF!="Mayor"),CONCATENATE("R10C",'Administrativo '!#REF!),"")</f>
        <v>#REF!</v>
      </c>
      <c r="AD15" s="54" t="e">
        <f>IF(AND('Administrativo '!#REF!="Muy Alta",'Administrativo '!#REF!="Mayor"),CONCATENATE("R10C",'Administrativo '!#REF!),"")</f>
        <v>#REF!</v>
      </c>
      <c r="AE15" s="54" t="e">
        <f>IF(AND('Administrativo '!#REF!="Muy Alta",'Administrativo '!#REF!="Mayor"),CONCATENATE("R10C",'Administrativo '!#REF!),"")</f>
        <v>#REF!</v>
      </c>
      <c r="AF15" s="54" t="e">
        <f>IF(AND('Administrativo '!#REF!="Muy Alta",'Administrativo '!#REF!="Mayor"),CONCATENATE("R10C",'Administrativo '!#REF!),"")</f>
        <v>#REF!</v>
      </c>
      <c r="AG15" s="55" t="e">
        <f>IF(AND('Administrativo '!#REF!="Muy Alta",'Administrativo '!#REF!="Mayor"),CONCATENATE("R10C",'Administrativo '!#REF!),"")</f>
        <v>#REF!</v>
      </c>
      <c r="AH15" s="62" t="e">
        <f>IF(AND('Administrativo '!#REF!="Muy Alta",'Administrativo '!#REF!="Catastrófico"),CONCATENATE("R10C",'Administrativo '!#REF!),"")</f>
        <v>#REF!</v>
      </c>
      <c r="AI15" s="63" t="e">
        <f>IF(AND('Administrativo '!#REF!="Muy Alta",'Administrativo '!#REF!="Catastrófico"),CONCATENATE("R10C",'Administrativo '!#REF!),"")</f>
        <v>#REF!</v>
      </c>
      <c r="AJ15" s="63" t="e">
        <f>IF(AND('Administrativo '!#REF!="Muy Alta",'Administrativo '!#REF!="Catastrófico"),CONCATENATE("R10C",'Administrativo '!#REF!),"")</f>
        <v>#REF!</v>
      </c>
      <c r="AK15" s="63" t="e">
        <f>IF(AND('Administrativo '!#REF!="Muy Alta",'Administrativo '!#REF!="Catastrófico"),CONCATENATE("R10C",'Administrativo '!#REF!),"")</f>
        <v>#REF!</v>
      </c>
      <c r="AL15" s="63" t="e">
        <f>IF(AND('Administrativo '!#REF!="Muy Alta",'Administrativo '!#REF!="Catastrófico"),CONCATENATE("R10C",'Administrativo '!#REF!),"")</f>
        <v>#REF!</v>
      </c>
      <c r="AM15" s="64" t="e">
        <f>IF(AND('Administrativo '!#REF!="Muy Alta",'Administrativo '!#REF!="Catastrófico"),CONCATENATE("R10C",'Administrativo '!#REF!),"")</f>
        <v>#REF!</v>
      </c>
      <c r="AN15" s="84"/>
      <c r="AO15" s="425"/>
      <c r="AP15" s="426"/>
      <c r="AQ15" s="426"/>
      <c r="AR15" s="426"/>
      <c r="AS15" s="426"/>
      <c r="AT15" s="427"/>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361"/>
      <c r="C16" s="361"/>
      <c r="D16" s="362"/>
      <c r="E16" s="399" t="s">
        <v>117</v>
      </c>
      <c r="F16" s="400"/>
      <c r="G16" s="400"/>
      <c r="H16" s="400"/>
      <c r="I16" s="400"/>
      <c r="J16" s="65" t="str">
        <f ca="1">IF(AND('Administrativo '!$Y$10="Alta",'Administrativo '!$AA$10="Leve"),CONCATENATE("R1C",'Administrativo '!$O$10),"")</f>
        <v/>
      </c>
      <c r="K16" s="66" t="str">
        <f ca="1">IF(AND('Administrativo '!$Y$11="Alta",'Administrativo '!$AA$11="Leve"),CONCATENATE("R1C",'Administrativo '!$O$11),"")</f>
        <v/>
      </c>
      <c r="L16" s="66" t="e">
        <f>IF(AND('Administrativo '!#REF!="Alta",'Administrativo '!#REF!="Leve"),CONCATENATE("R1C",'Administrativo '!#REF!),"")</f>
        <v>#REF!</v>
      </c>
      <c r="M16" s="66" t="e">
        <f>IF(AND('Administrativo '!#REF!="Alta",'Administrativo '!#REF!="Leve"),CONCATENATE("R1C",'Administrativo '!#REF!),"")</f>
        <v>#REF!</v>
      </c>
      <c r="N16" s="66" t="e">
        <f>IF(AND('Administrativo '!#REF!="Alta",'Administrativo '!#REF!="Leve"),CONCATENATE("R1C",'Administrativo '!#REF!),"")</f>
        <v>#REF!</v>
      </c>
      <c r="O16" s="67" t="e">
        <f>IF(AND('Administrativo '!#REF!="Alta",'Administrativo '!#REF!="Leve"),CONCATENATE("R1C",'Administrativo '!#REF!),"")</f>
        <v>#REF!</v>
      </c>
      <c r="P16" s="65" t="str">
        <f ca="1">IF(AND('Administrativo '!$Y$10="Alta",'Administrativo '!$AA$10="Menor"),CONCATENATE("R1C",'Administrativo '!$O$10),"")</f>
        <v/>
      </c>
      <c r="Q16" s="66" t="str">
        <f ca="1">IF(AND('Administrativo '!$Y$11="Alta",'Administrativo '!$AA$11="Menor"),CONCATENATE("R1C",'Administrativo '!$O$11),"")</f>
        <v/>
      </c>
      <c r="R16" s="66" t="e">
        <f>IF(AND('Administrativo '!#REF!="Alta",'Administrativo '!#REF!="Menor"),CONCATENATE("R1C",'Administrativo '!#REF!),"")</f>
        <v>#REF!</v>
      </c>
      <c r="S16" s="66" t="e">
        <f>IF(AND('Administrativo '!#REF!="Alta",'Administrativo '!#REF!="Menor"),CONCATENATE("R1C",'Administrativo '!#REF!),"")</f>
        <v>#REF!</v>
      </c>
      <c r="T16" s="66" t="e">
        <f>IF(AND('Administrativo '!#REF!="Alta",'Administrativo '!#REF!="Menor"),CONCATENATE("R1C",'Administrativo '!#REF!),"")</f>
        <v>#REF!</v>
      </c>
      <c r="U16" s="67" t="e">
        <f>IF(AND('Administrativo '!#REF!="Alta",'Administrativo '!#REF!="Menor"),CONCATENATE("R1C",'Administrativo '!#REF!),"")</f>
        <v>#REF!</v>
      </c>
      <c r="V16" s="47" t="str">
        <f ca="1">IF(AND('Administrativo '!$Y$10="Alta",'Administrativo '!$AA$10="Moderado"),CONCATENATE("R1C",'Administrativo '!$O$10),"")</f>
        <v/>
      </c>
      <c r="W16" s="48" t="str">
        <f ca="1">IF(AND('Administrativo '!$Y$11="Alta",'Administrativo '!$AA$11="Moderado"),CONCATENATE("R1C",'Administrativo '!$O$11),"")</f>
        <v/>
      </c>
      <c r="X16" s="48" t="e">
        <f>IF(AND('Administrativo '!#REF!="Alta",'Administrativo '!#REF!="Moderado"),CONCATENATE("R1C",'Administrativo '!#REF!),"")</f>
        <v>#REF!</v>
      </c>
      <c r="Y16" s="48" t="e">
        <f>IF(AND('Administrativo '!#REF!="Alta",'Administrativo '!#REF!="Moderado"),CONCATENATE("R1C",'Administrativo '!#REF!),"")</f>
        <v>#REF!</v>
      </c>
      <c r="Z16" s="48" t="e">
        <f>IF(AND('Administrativo '!#REF!="Alta",'Administrativo '!#REF!="Moderado"),CONCATENATE("R1C",'Administrativo '!#REF!),"")</f>
        <v>#REF!</v>
      </c>
      <c r="AA16" s="49" t="e">
        <f>IF(AND('Administrativo '!#REF!="Alta",'Administrativo '!#REF!="Moderado"),CONCATENATE("R1C",'Administrativo '!#REF!),"")</f>
        <v>#REF!</v>
      </c>
      <c r="AB16" s="47" t="str">
        <f ca="1">IF(AND('Administrativo '!$Y$10="Alta",'Administrativo '!$AA$10="Mayor"),CONCATENATE("R1C",'Administrativo '!$O$10),"")</f>
        <v/>
      </c>
      <c r="AC16" s="48" t="str">
        <f ca="1">IF(AND('Administrativo '!$Y$11="Alta",'Administrativo '!$AA$11="Mayor"),CONCATENATE("R1C",'Administrativo '!$O$11),"")</f>
        <v/>
      </c>
      <c r="AD16" s="48" t="e">
        <f>IF(AND('Administrativo '!#REF!="Alta",'Administrativo '!#REF!="Mayor"),CONCATENATE("R1C",'Administrativo '!#REF!),"")</f>
        <v>#REF!</v>
      </c>
      <c r="AE16" s="48" t="e">
        <f>IF(AND('Administrativo '!#REF!="Alta",'Administrativo '!#REF!="Mayor"),CONCATENATE("R1C",'Administrativo '!#REF!),"")</f>
        <v>#REF!</v>
      </c>
      <c r="AF16" s="48" t="e">
        <f>IF(AND('Administrativo '!#REF!="Alta",'Administrativo '!#REF!="Mayor"),CONCATENATE("R1C",'Administrativo '!#REF!),"")</f>
        <v>#REF!</v>
      </c>
      <c r="AG16" s="49" t="e">
        <f>IF(AND('Administrativo '!#REF!="Alta",'Administrativo '!#REF!="Mayor"),CONCATENATE("R1C",'Administrativo '!#REF!),"")</f>
        <v>#REF!</v>
      </c>
      <c r="AH16" s="50" t="str">
        <f ca="1">IF(AND('Administrativo '!$Y$10="Alta",'Administrativo '!$AA$10="Catastrófico"),CONCATENATE("R1C",'Administrativo '!$O$10),"")</f>
        <v/>
      </c>
      <c r="AI16" s="51" t="str">
        <f ca="1">IF(AND('Administrativo '!$Y$11="Alta",'Administrativo '!$AA$11="Catastrófico"),CONCATENATE("R1C",'Administrativo '!$O$11),"")</f>
        <v/>
      </c>
      <c r="AJ16" s="51" t="e">
        <f>IF(AND('Administrativo '!#REF!="Alta",'Administrativo '!#REF!="Catastrófico"),CONCATENATE("R1C",'Administrativo '!#REF!),"")</f>
        <v>#REF!</v>
      </c>
      <c r="AK16" s="51" t="e">
        <f>IF(AND('Administrativo '!#REF!="Alta",'Administrativo '!#REF!="Catastrófico"),CONCATENATE("R1C",'Administrativo '!#REF!),"")</f>
        <v>#REF!</v>
      </c>
      <c r="AL16" s="51" t="e">
        <f>IF(AND('Administrativo '!#REF!="Alta",'Administrativo '!#REF!="Catastrófico"),CONCATENATE("R1C",'Administrativo '!#REF!),"")</f>
        <v>#REF!</v>
      </c>
      <c r="AM16" s="52" t="e">
        <f>IF(AND('Administrativo '!#REF!="Alta",'Administrativo '!#REF!="Catastrófico"),CONCATENATE("R1C",'Administrativo '!#REF!),"")</f>
        <v>#REF!</v>
      </c>
      <c r="AN16" s="84"/>
      <c r="AO16" s="409" t="s">
        <v>118</v>
      </c>
      <c r="AP16" s="410"/>
      <c r="AQ16" s="410"/>
      <c r="AR16" s="410"/>
      <c r="AS16" s="410"/>
      <c r="AT16" s="411"/>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361"/>
      <c r="C17" s="361"/>
      <c r="D17" s="362"/>
      <c r="E17" s="418"/>
      <c r="F17" s="403"/>
      <c r="G17" s="403"/>
      <c r="H17" s="403"/>
      <c r="I17" s="403"/>
      <c r="J17" s="68" t="e">
        <f>IF(AND('Administrativo '!#REF!="Alta",'Administrativo '!#REF!="Leve"),CONCATENATE("R2C",'Administrativo '!#REF!),"")</f>
        <v>#REF!</v>
      </c>
      <c r="K17" s="69" t="e">
        <f>IF(AND('Administrativo '!#REF!="Alta",'Administrativo '!#REF!="Leve"),CONCATENATE("R2C",'Administrativo '!#REF!),"")</f>
        <v>#REF!</v>
      </c>
      <c r="L17" s="69" t="e">
        <f>IF(AND('Administrativo '!#REF!="Alta",'Administrativo '!#REF!="Leve"),CONCATENATE("R2C",'Administrativo '!#REF!),"")</f>
        <v>#REF!</v>
      </c>
      <c r="M17" s="69" t="e">
        <f>IF(AND('Administrativo '!#REF!="Alta",'Administrativo '!#REF!="Leve"),CONCATENATE("R2C",'Administrativo '!#REF!),"")</f>
        <v>#REF!</v>
      </c>
      <c r="N17" s="69" t="e">
        <f>IF(AND('Administrativo '!#REF!="Alta",'Administrativo '!#REF!="Leve"),CONCATENATE("R2C",'Administrativo '!#REF!),"")</f>
        <v>#REF!</v>
      </c>
      <c r="O17" s="70" t="e">
        <f>IF(AND('Administrativo '!#REF!="Alta",'Administrativo '!#REF!="Leve"),CONCATENATE("R2C",'Administrativo '!#REF!),"")</f>
        <v>#REF!</v>
      </c>
      <c r="P17" s="68" t="e">
        <f>IF(AND('Administrativo '!#REF!="Alta",'Administrativo '!#REF!="Menor"),CONCATENATE("R2C",'Administrativo '!#REF!),"")</f>
        <v>#REF!</v>
      </c>
      <c r="Q17" s="69" t="e">
        <f>IF(AND('Administrativo '!#REF!="Alta",'Administrativo '!#REF!="Menor"),CONCATENATE("R2C",'Administrativo '!#REF!),"")</f>
        <v>#REF!</v>
      </c>
      <c r="R17" s="69" t="e">
        <f>IF(AND('Administrativo '!#REF!="Alta",'Administrativo '!#REF!="Menor"),CONCATENATE("R2C",'Administrativo '!#REF!),"")</f>
        <v>#REF!</v>
      </c>
      <c r="S17" s="69" t="e">
        <f>IF(AND('Administrativo '!#REF!="Alta",'Administrativo '!#REF!="Menor"),CONCATENATE("R2C",'Administrativo '!#REF!),"")</f>
        <v>#REF!</v>
      </c>
      <c r="T17" s="69" t="e">
        <f>IF(AND('Administrativo '!#REF!="Alta",'Administrativo '!#REF!="Menor"),CONCATENATE("R2C",'Administrativo '!#REF!),"")</f>
        <v>#REF!</v>
      </c>
      <c r="U17" s="70" t="e">
        <f>IF(AND('Administrativo '!#REF!="Alta",'Administrativo '!#REF!="Menor"),CONCATENATE("R2C",'Administrativo '!#REF!),"")</f>
        <v>#REF!</v>
      </c>
      <c r="V17" s="53" t="e">
        <f>IF(AND('Administrativo '!#REF!="Alta",'Administrativo '!#REF!="Moderado"),CONCATENATE("R2C",'Administrativo '!#REF!),"")</f>
        <v>#REF!</v>
      </c>
      <c r="W17" s="54" t="e">
        <f>IF(AND('Administrativo '!#REF!="Alta",'Administrativo '!#REF!="Moderado"),CONCATENATE("R2C",'Administrativo '!#REF!),"")</f>
        <v>#REF!</v>
      </c>
      <c r="X17" s="54" t="e">
        <f>IF(AND('Administrativo '!#REF!="Alta",'Administrativo '!#REF!="Moderado"),CONCATENATE("R2C",'Administrativo '!#REF!),"")</f>
        <v>#REF!</v>
      </c>
      <c r="Y17" s="54" t="e">
        <f>IF(AND('Administrativo '!#REF!="Alta",'Administrativo '!#REF!="Moderado"),CONCATENATE("R2C",'Administrativo '!#REF!),"")</f>
        <v>#REF!</v>
      </c>
      <c r="Z17" s="54" t="e">
        <f>IF(AND('Administrativo '!#REF!="Alta",'Administrativo '!#REF!="Moderado"),CONCATENATE("R2C",'Administrativo '!#REF!),"")</f>
        <v>#REF!</v>
      </c>
      <c r="AA17" s="55" t="e">
        <f>IF(AND('Administrativo '!#REF!="Alta",'Administrativo '!#REF!="Moderado"),CONCATENATE("R2C",'Administrativo '!#REF!),"")</f>
        <v>#REF!</v>
      </c>
      <c r="AB17" s="53" t="e">
        <f>IF(AND('Administrativo '!#REF!="Alta",'Administrativo '!#REF!="Mayor"),CONCATENATE("R2C",'Administrativo '!#REF!),"")</f>
        <v>#REF!</v>
      </c>
      <c r="AC17" s="54" t="e">
        <f>IF(AND('Administrativo '!#REF!="Alta",'Administrativo '!#REF!="Mayor"),CONCATENATE("R2C",'Administrativo '!#REF!),"")</f>
        <v>#REF!</v>
      </c>
      <c r="AD17" s="54" t="e">
        <f>IF(AND('Administrativo '!#REF!="Alta",'Administrativo '!#REF!="Mayor"),CONCATENATE("R2C",'Administrativo '!#REF!),"")</f>
        <v>#REF!</v>
      </c>
      <c r="AE17" s="54" t="e">
        <f>IF(AND('Administrativo '!#REF!="Alta",'Administrativo '!#REF!="Mayor"),CONCATENATE("R2C",'Administrativo '!#REF!),"")</f>
        <v>#REF!</v>
      </c>
      <c r="AF17" s="54" t="e">
        <f>IF(AND('Administrativo '!#REF!="Alta",'Administrativo '!#REF!="Mayor"),CONCATENATE("R2C",'Administrativo '!#REF!),"")</f>
        <v>#REF!</v>
      </c>
      <c r="AG17" s="55" t="e">
        <f>IF(AND('Administrativo '!#REF!="Alta",'Administrativo '!#REF!="Mayor"),CONCATENATE("R2C",'Administrativo '!#REF!),"")</f>
        <v>#REF!</v>
      </c>
      <c r="AH17" s="56" t="e">
        <f>IF(AND('Administrativo '!#REF!="Alta",'Administrativo '!#REF!="Catastrófico"),CONCATENATE("R2C",'Administrativo '!#REF!),"")</f>
        <v>#REF!</v>
      </c>
      <c r="AI17" s="57" t="e">
        <f>IF(AND('Administrativo '!#REF!="Alta",'Administrativo '!#REF!="Catastrófico"),CONCATENATE("R2C",'Administrativo '!#REF!),"")</f>
        <v>#REF!</v>
      </c>
      <c r="AJ17" s="57" t="e">
        <f>IF(AND('Administrativo '!#REF!="Alta",'Administrativo '!#REF!="Catastrófico"),CONCATENATE("R2C",'Administrativo '!#REF!),"")</f>
        <v>#REF!</v>
      </c>
      <c r="AK17" s="57" t="e">
        <f>IF(AND('Administrativo '!#REF!="Alta",'Administrativo '!#REF!="Catastrófico"),CONCATENATE("R2C",'Administrativo '!#REF!),"")</f>
        <v>#REF!</v>
      </c>
      <c r="AL17" s="57" t="e">
        <f>IF(AND('Administrativo '!#REF!="Alta",'Administrativo '!#REF!="Catastrófico"),CONCATENATE("R2C",'Administrativo '!#REF!),"")</f>
        <v>#REF!</v>
      </c>
      <c r="AM17" s="58" t="e">
        <f>IF(AND('Administrativo '!#REF!="Alta",'Administrativo '!#REF!="Catastrófico"),CONCATENATE("R2C",'Administrativo '!#REF!),"")</f>
        <v>#REF!</v>
      </c>
      <c r="AN17" s="84"/>
      <c r="AO17" s="412"/>
      <c r="AP17" s="413"/>
      <c r="AQ17" s="413"/>
      <c r="AR17" s="413"/>
      <c r="AS17" s="413"/>
      <c r="AT17" s="41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361"/>
      <c r="C18" s="361"/>
      <c r="D18" s="362"/>
      <c r="E18" s="402"/>
      <c r="F18" s="403"/>
      <c r="G18" s="403"/>
      <c r="H18" s="403"/>
      <c r="I18" s="403"/>
      <c r="J18" s="68" t="e">
        <f>IF(AND('Administrativo '!#REF!="Alta",'Administrativo '!#REF!="Leve"),CONCATENATE("R3C",'Administrativo '!#REF!),"")</f>
        <v>#REF!</v>
      </c>
      <c r="K18" s="69" t="e">
        <f>IF(AND('Administrativo '!#REF!="Alta",'Administrativo '!#REF!="Leve"),CONCATENATE("R3C",'Administrativo '!#REF!),"")</f>
        <v>#REF!</v>
      </c>
      <c r="L18" s="69" t="e">
        <f>IF(AND('Administrativo '!#REF!="Alta",'Administrativo '!#REF!="Leve"),CONCATENATE("R3C",'Administrativo '!#REF!),"")</f>
        <v>#REF!</v>
      </c>
      <c r="M18" s="69" t="e">
        <f>IF(AND('Administrativo '!#REF!="Alta",'Administrativo '!#REF!="Leve"),CONCATENATE("R3C",'Administrativo '!#REF!),"")</f>
        <v>#REF!</v>
      </c>
      <c r="N18" s="69" t="e">
        <f>IF(AND('Administrativo '!#REF!="Alta",'Administrativo '!#REF!="Leve"),CONCATENATE("R3C",'Administrativo '!#REF!),"")</f>
        <v>#REF!</v>
      </c>
      <c r="O18" s="70" t="e">
        <f>IF(AND('Administrativo '!#REF!="Alta",'Administrativo '!#REF!="Leve"),CONCATENATE("R3C",'Administrativo '!#REF!),"")</f>
        <v>#REF!</v>
      </c>
      <c r="P18" s="68" t="e">
        <f>IF(AND('Administrativo '!#REF!="Alta",'Administrativo '!#REF!="Menor"),CONCATENATE("R3C",'Administrativo '!#REF!),"")</f>
        <v>#REF!</v>
      </c>
      <c r="Q18" s="69" t="e">
        <f>IF(AND('Administrativo '!#REF!="Alta",'Administrativo '!#REF!="Menor"),CONCATENATE("R3C",'Administrativo '!#REF!),"")</f>
        <v>#REF!</v>
      </c>
      <c r="R18" s="69" t="e">
        <f>IF(AND('Administrativo '!#REF!="Alta",'Administrativo '!#REF!="Menor"),CONCATENATE("R3C",'Administrativo '!#REF!),"")</f>
        <v>#REF!</v>
      </c>
      <c r="S18" s="69" t="e">
        <f>IF(AND('Administrativo '!#REF!="Alta",'Administrativo '!#REF!="Menor"),CONCATENATE("R3C",'Administrativo '!#REF!),"")</f>
        <v>#REF!</v>
      </c>
      <c r="T18" s="69" t="e">
        <f>IF(AND('Administrativo '!#REF!="Alta",'Administrativo '!#REF!="Menor"),CONCATENATE("R3C",'Administrativo '!#REF!),"")</f>
        <v>#REF!</v>
      </c>
      <c r="U18" s="70" t="e">
        <f>IF(AND('Administrativo '!#REF!="Alta",'Administrativo '!#REF!="Menor"),CONCATENATE("R3C",'Administrativo '!#REF!),"")</f>
        <v>#REF!</v>
      </c>
      <c r="V18" s="53" t="e">
        <f>IF(AND('Administrativo '!#REF!="Alta",'Administrativo '!#REF!="Moderado"),CONCATENATE("R3C",'Administrativo '!#REF!),"")</f>
        <v>#REF!</v>
      </c>
      <c r="W18" s="54" t="e">
        <f>IF(AND('Administrativo '!#REF!="Alta",'Administrativo '!#REF!="Moderado"),CONCATENATE("R3C",'Administrativo '!#REF!),"")</f>
        <v>#REF!</v>
      </c>
      <c r="X18" s="54" t="e">
        <f>IF(AND('Administrativo '!#REF!="Alta",'Administrativo '!#REF!="Moderado"),CONCATENATE("R3C",'Administrativo '!#REF!),"")</f>
        <v>#REF!</v>
      </c>
      <c r="Y18" s="54" t="e">
        <f>IF(AND('Administrativo '!#REF!="Alta",'Administrativo '!#REF!="Moderado"),CONCATENATE("R3C",'Administrativo '!#REF!),"")</f>
        <v>#REF!</v>
      </c>
      <c r="Z18" s="54" t="e">
        <f>IF(AND('Administrativo '!#REF!="Alta",'Administrativo '!#REF!="Moderado"),CONCATENATE("R3C",'Administrativo '!#REF!),"")</f>
        <v>#REF!</v>
      </c>
      <c r="AA18" s="55" t="e">
        <f>IF(AND('Administrativo '!#REF!="Alta",'Administrativo '!#REF!="Moderado"),CONCATENATE("R3C",'Administrativo '!#REF!),"")</f>
        <v>#REF!</v>
      </c>
      <c r="AB18" s="53" t="e">
        <f>IF(AND('Administrativo '!#REF!="Alta",'Administrativo '!#REF!="Mayor"),CONCATENATE("R3C",'Administrativo '!#REF!),"")</f>
        <v>#REF!</v>
      </c>
      <c r="AC18" s="54" t="e">
        <f>IF(AND('Administrativo '!#REF!="Alta",'Administrativo '!#REF!="Mayor"),CONCATENATE("R3C",'Administrativo '!#REF!),"")</f>
        <v>#REF!</v>
      </c>
      <c r="AD18" s="54" t="e">
        <f>IF(AND('Administrativo '!#REF!="Alta",'Administrativo '!#REF!="Mayor"),CONCATENATE("R3C",'Administrativo '!#REF!),"")</f>
        <v>#REF!</v>
      </c>
      <c r="AE18" s="54" t="e">
        <f>IF(AND('Administrativo '!#REF!="Alta",'Administrativo '!#REF!="Mayor"),CONCATENATE("R3C",'Administrativo '!#REF!),"")</f>
        <v>#REF!</v>
      </c>
      <c r="AF18" s="54" t="e">
        <f>IF(AND('Administrativo '!#REF!="Alta",'Administrativo '!#REF!="Mayor"),CONCATENATE("R3C",'Administrativo '!#REF!),"")</f>
        <v>#REF!</v>
      </c>
      <c r="AG18" s="55" t="e">
        <f>IF(AND('Administrativo '!#REF!="Alta",'Administrativo '!#REF!="Mayor"),CONCATENATE("R3C",'Administrativo '!#REF!),"")</f>
        <v>#REF!</v>
      </c>
      <c r="AH18" s="56" t="e">
        <f>IF(AND('Administrativo '!#REF!="Alta",'Administrativo '!#REF!="Catastrófico"),CONCATENATE("R3C",'Administrativo '!#REF!),"")</f>
        <v>#REF!</v>
      </c>
      <c r="AI18" s="57" t="e">
        <f>IF(AND('Administrativo '!#REF!="Alta",'Administrativo '!#REF!="Catastrófico"),CONCATENATE("R3C",'Administrativo '!#REF!),"")</f>
        <v>#REF!</v>
      </c>
      <c r="AJ18" s="57" t="e">
        <f>IF(AND('Administrativo '!#REF!="Alta",'Administrativo '!#REF!="Catastrófico"),CONCATENATE("R3C",'Administrativo '!#REF!),"")</f>
        <v>#REF!</v>
      </c>
      <c r="AK18" s="57" t="e">
        <f>IF(AND('Administrativo '!#REF!="Alta",'Administrativo '!#REF!="Catastrófico"),CONCATENATE("R3C",'Administrativo '!#REF!),"")</f>
        <v>#REF!</v>
      </c>
      <c r="AL18" s="57" t="e">
        <f>IF(AND('Administrativo '!#REF!="Alta",'Administrativo '!#REF!="Catastrófico"),CONCATENATE("R3C",'Administrativo '!#REF!),"")</f>
        <v>#REF!</v>
      </c>
      <c r="AM18" s="58" t="e">
        <f>IF(AND('Administrativo '!#REF!="Alta",'Administrativo '!#REF!="Catastrófico"),CONCATENATE("R3C",'Administrativo '!#REF!),"")</f>
        <v>#REF!</v>
      </c>
      <c r="AN18" s="84"/>
      <c r="AO18" s="412"/>
      <c r="AP18" s="413"/>
      <c r="AQ18" s="413"/>
      <c r="AR18" s="413"/>
      <c r="AS18" s="413"/>
      <c r="AT18" s="41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361"/>
      <c r="C19" s="361"/>
      <c r="D19" s="362"/>
      <c r="E19" s="402"/>
      <c r="F19" s="403"/>
      <c r="G19" s="403"/>
      <c r="H19" s="403"/>
      <c r="I19" s="403"/>
      <c r="J19" s="68" t="e">
        <f>IF(AND('Administrativo '!#REF!="Alta",'Administrativo '!#REF!="Leve"),CONCATENATE("R4C",'Administrativo '!#REF!),"")</f>
        <v>#REF!</v>
      </c>
      <c r="K19" s="69" t="e">
        <f>IF(AND('Administrativo '!#REF!="Alta",'Administrativo '!#REF!="Leve"),CONCATENATE("R4C",'Administrativo '!#REF!),"")</f>
        <v>#REF!</v>
      </c>
      <c r="L19" s="69" t="e">
        <f>IF(AND('Administrativo '!#REF!="Alta",'Administrativo '!#REF!="Leve"),CONCATENATE("R4C",'Administrativo '!#REF!),"")</f>
        <v>#REF!</v>
      </c>
      <c r="M19" s="69" t="e">
        <f>IF(AND('Administrativo '!#REF!="Alta",'Administrativo '!#REF!="Leve"),CONCATENATE("R4C",'Administrativo '!#REF!),"")</f>
        <v>#REF!</v>
      </c>
      <c r="N19" s="69" t="e">
        <f>IF(AND('Administrativo '!#REF!="Alta",'Administrativo '!#REF!="Leve"),CONCATENATE("R4C",'Administrativo '!#REF!),"")</f>
        <v>#REF!</v>
      </c>
      <c r="O19" s="70" t="e">
        <f>IF(AND('Administrativo '!#REF!="Alta",'Administrativo '!#REF!="Leve"),CONCATENATE("R4C",'Administrativo '!#REF!),"")</f>
        <v>#REF!</v>
      </c>
      <c r="P19" s="68" t="e">
        <f>IF(AND('Administrativo '!#REF!="Alta",'Administrativo '!#REF!="Menor"),CONCATENATE("R4C",'Administrativo '!#REF!),"")</f>
        <v>#REF!</v>
      </c>
      <c r="Q19" s="69" t="e">
        <f>IF(AND('Administrativo '!#REF!="Alta",'Administrativo '!#REF!="Menor"),CONCATENATE("R4C",'Administrativo '!#REF!),"")</f>
        <v>#REF!</v>
      </c>
      <c r="R19" s="69" t="e">
        <f>IF(AND('Administrativo '!#REF!="Alta",'Administrativo '!#REF!="Menor"),CONCATENATE("R4C",'Administrativo '!#REF!),"")</f>
        <v>#REF!</v>
      </c>
      <c r="S19" s="69" t="e">
        <f>IF(AND('Administrativo '!#REF!="Alta",'Administrativo '!#REF!="Menor"),CONCATENATE("R4C",'Administrativo '!#REF!),"")</f>
        <v>#REF!</v>
      </c>
      <c r="T19" s="69" t="e">
        <f>IF(AND('Administrativo '!#REF!="Alta",'Administrativo '!#REF!="Menor"),CONCATENATE("R4C",'Administrativo '!#REF!),"")</f>
        <v>#REF!</v>
      </c>
      <c r="U19" s="70" t="e">
        <f>IF(AND('Administrativo '!#REF!="Alta",'Administrativo '!#REF!="Menor"),CONCATENATE("R4C",'Administrativo '!#REF!),"")</f>
        <v>#REF!</v>
      </c>
      <c r="V19" s="53" t="e">
        <f>IF(AND('Administrativo '!#REF!="Alta",'Administrativo '!#REF!="Moderado"),CONCATENATE("R4C",'Administrativo '!#REF!),"")</f>
        <v>#REF!</v>
      </c>
      <c r="W19" s="54" t="e">
        <f>IF(AND('Administrativo '!#REF!="Alta",'Administrativo '!#REF!="Moderado"),CONCATENATE("R4C",'Administrativo '!#REF!),"")</f>
        <v>#REF!</v>
      </c>
      <c r="X19" s="54" t="e">
        <f>IF(AND('Administrativo '!#REF!="Alta",'Administrativo '!#REF!="Moderado"),CONCATENATE("R4C",'Administrativo '!#REF!),"")</f>
        <v>#REF!</v>
      </c>
      <c r="Y19" s="54" t="e">
        <f>IF(AND('Administrativo '!#REF!="Alta",'Administrativo '!#REF!="Moderado"),CONCATENATE("R4C",'Administrativo '!#REF!),"")</f>
        <v>#REF!</v>
      </c>
      <c r="Z19" s="54" t="e">
        <f>IF(AND('Administrativo '!#REF!="Alta",'Administrativo '!#REF!="Moderado"),CONCATENATE("R4C",'Administrativo '!#REF!),"")</f>
        <v>#REF!</v>
      </c>
      <c r="AA19" s="55" t="e">
        <f>IF(AND('Administrativo '!#REF!="Alta",'Administrativo '!#REF!="Moderado"),CONCATENATE("R4C",'Administrativo '!#REF!),"")</f>
        <v>#REF!</v>
      </c>
      <c r="AB19" s="53" t="e">
        <f>IF(AND('Administrativo '!#REF!="Alta",'Administrativo '!#REF!="Mayor"),CONCATENATE("R4C",'Administrativo '!#REF!),"")</f>
        <v>#REF!</v>
      </c>
      <c r="AC19" s="54" t="e">
        <f>IF(AND('Administrativo '!#REF!="Alta",'Administrativo '!#REF!="Mayor"),CONCATENATE("R4C",'Administrativo '!#REF!),"")</f>
        <v>#REF!</v>
      </c>
      <c r="AD19" s="54" t="e">
        <f>IF(AND('Administrativo '!#REF!="Alta",'Administrativo '!#REF!="Mayor"),CONCATENATE("R4C",'Administrativo '!#REF!),"")</f>
        <v>#REF!</v>
      </c>
      <c r="AE19" s="54" t="e">
        <f>IF(AND('Administrativo '!#REF!="Alta",'Administrativo '!#REF!="Mayor"),CONCATENATE("R4C",'Administrativo '!#REF!),"")</f>
        <v>#REF!</v>
      </c>
      <c r="AF19" s="54" t="e">
        <f>IF(AND('Administrativo '!#REF!="Alta",'Administrativo '!#REF!="Mayor"),CONCATENATE("R4C",'Administrativo '!#REF!),"")</f>
        <v>#REF!</v>
      </c>
      <c r="AG19" s="55" t="e">
        <f>IF(AND('Administrativo '!#REF!="Alta",'Administrativo '!#REF!="Mayor"),CONCATENATE("R4C",'Administrativo '!#REF!),"")</f>
        <v>#REF!</v>
      </c>
      <c r="AH19" s="56" t="e">
        <f>IF(AND('Administrativo '!#REF!="Alta",'Administrativo '!#REF!="Catastrófico"),CONCATENATE("R4C",'Administrativo '!#REF!),"")</f>
        <v>#REF!</v>
      </c>
      <c r="AI19" s="57" t="e">
        <f>IF(AND('Administrativo '!#REF!="Alta",'Administrativo '!#REF!="Catastrófico"),CONCATENATE("R4C",'Administrativo '!#REF!),"")</f>
        <v>#REF!</v>
      </c>
      <c r="AJ19" s="57" t="e">
        <f>IF(AND('Administrativo '!#REF!="Alta",'Administrativo '!#REF!="Catastrófico"),CONCATENATE("R4C",'Administrativo '!#REF!),"")</f>
        <v>#REF!</v>
      </c>
      <c r="AK19" s="57" t="e">
        <f>IF(AND('Administrativo '!#REF!="Alta",'Administrativo '!#REF!="Catastrófico"),CONCATENATE("R4C",'Administrativo '!#REF!),"")</f>
        <v>#REF!</v>
      </c>
      <c r="AL19" s="57" t="e">
        <f>IF(AND('Administrativo '!#REF!="Alta",'Administrativo '!#REF!="Catastrófico"),CONCATENATE("R4C",'Administrativo '!#REF!),"")</f>
        <v>#REF!</v>
      </c>
      <c r="AM19" s="58" t="e">
        <f>IF(AND('Administrativo '!#REF!="Alta",'Administrativo '!#REF!="Catastrófico"),CONCATENATE("R4C",'Administrativo '!#REF!),"")</f>
        <v>#REF!</v>
      </c>
      <c r="AN19" s="84"/>
      <c r="AO19" s="412"/>
      <c r="AP19" s="413"/>
      <c r="AQ19" s="413"/>
      <c r="AR19" s="413"/>
      <c r="AS19" s="413"/>
      <c r="AT19" s="41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361"/>
      <c r="C20" s="361"/>
      <c r="D20" s="362"/>
      <c r="E20" s="402"/>
      <c r="F20" s="403"/>
      <c r="G20" s="403"/>
      <c r="H20" s="403"/>
      <c r="I20" s="403"/>
      <c r="J20" s="68" t="e">
        <f>IF(AND('Administrativo '!#REF!="Alta",'Administrativo '!#REF!="Leve"),CONCATENATE("R5C",'Administrativo '!#REF!),"")</f>
        <v>#REF!</v>
      </c>
      <c r="K20" s="69" t="e">
        <f>IF(AND('Administrativo '!#REF!="Alta",'Administrativo '!#REF!="Leve"),CONCATENATE("R5C",'Administrativo '!#REF!),"")</f>
        <v>#REF!</v>
      </c>
      <c r="L20" s="69" t="e">
        <f>IF(AND('Administrativo '!#REF!="Alta",'Administrativo '!#REF!="Leve"),CONCATENATE("R5C",'Administrativo '!#REF!),"")</f>
        <v>#REF!</v>
      </c>
      <c r="M20" s="69" t="e">
        <f>IF(AND('Administrativo '!#REF!="Alta",'Administrativo '!#REF!="Leve"),CONCATENATE("R5C",'Administrativo '!#REF!),"")</f>
        <v>#REF!</v>
      </c>
      <c r="N20" s="69" t="e">
        <f>IF(AND('Administrativo '!#REF!="Alta",'Administrativo '!#REF!="Leve"),CONCATENATE("R5C",'Administrativo '!#REF!),"")</f>
        <v>#REF!</v>
      </c>
      <c r="O20" s="70" t="e">
        <f>IF(AND('Administrativo '!#REF!="Alta",'Administrativo '!#REF!="Leve"),CONCATENATE("R5C",'Administrativo '!#REF!),"")</f>
        <v>#REF!</v>
      </c>
      <c r="P20" s="68" t="e">
        <f>IF(AND('Administrativo '!#REF!="Alta",'Administrativo '!#REF!="Menor"),CONCATENATE("R5C",'Administrativo '!#REF!),"")</f>
        <v>#REF!</v>
      </c>
      <c r="Q20" s="69" t="e">
        <f>IF(AND('Administrativo '!#REF!="Alta",'Administrativo '!#REF!="Menor"),CONCATENATE("R5C",'Administrativo '!#REF!),"")</f>
        <v>#REF!</v>
      </c>
      <c r="R20" s="69" t="e">
        <f>IF(AND('Administrativo '!#REF!="Alta",'Administrativo '!#REF!="Menor"),CONCATENATE("R5C",'Administrativo '!#REF!),"")</f>
        <v>#REF!</v>
      </c>
      <c r="S20" s="69" t="e">
        <f>IF(AND('Administrativo '!#REF!="Alta",'Administrativo '!#REF!="Menor"),CONCATENATE("R5C",'Administrativo '!#REF!),"")</f>
        <v>#REF!</v>
      </c>
      <c r="T20" s="69" t="e">
        <f>IF(AND('Administrativo '!#REF!="Alta",'Administrativo '!#REF!="Menor"),CONCATENATE("R5C",'Administrativo '!#REF!),"")</f>
        <v>#REF!</v>
      </c>
      <c r="U20" s="70" t="e">
        <f>IF(AND('Administrativo '!#REF!="Alta",'Administrativo '!#REF!="Menor"),CONCATENATE("R5C",'Administrativo '!#REF!),"")</f>
        <v>#REF!</v>
      </c>
      <c r="V20" s="53" t="e">
        <f>IF(AND('Administrativo '!#REF!="Alta",'Administrativo '!#REF!="Moderado"),CONCATENATE("R5C",'Administrativo '!#REF!),"")</f>
        <v>#REF!</v>
      </c>
      <c r="W20" s="54" t="e">
        <f>IF(AND('Administrativo '!#REF!="Alta",'Administrativo '!#REF!="Moderado"),CONCATENATE("R5C",'Administrativo '!#REF!),"")</f>
        <v>#REF!</v>
      </c>
      <c r="X20" s="54" t="e">
        <f>IF(AND('Administrativo '!#REF!="Alta",'Administrativo '!#REF!="Moderado"),CONCATENATE("R5C",'Administrativo '!#REF!),"")</f>
        <v>#REF!</v>
      </c>
      <c r="Y20" s="54" t="e">
        <f>IF(AND('Administrativo '!#REF!="Alta",'Administrativo '!#REF!="Moderado"),CONCATENATE("R5C",'Administrativo '!#REF!),"")</f>
        <v>#REF!</v>
      </c>
      <c r="Z20" s="54" t="e">
        <f>IF(AND('Administrativo '!#REF!="Alta",'Administrativo '!#REF!="Moderado"),CONCATENATE("R5C",'Administrativo '!#REF!),"")</f>
        <v>#REF!</v>
      </c>
      <c r="AA20" s="55" t="e">
        <f>IF(AND('Administrativo '!#REF!="Alta",'Administrativo '!#REF!="Moderado"),CONCATENATE("R5C",'Administrativo '!#REF!),"")</f>
        <v>#REF!</v>
      </c>
      <c r="AB20" s="53" t="e">
        <f>IF(AND('Administrativo '!#REF!="Alta",'Administrativo '!#REF!="Mayor"),CONCATENATE("R5C",'Administrativo '!#REF!),"")</f>
        <v>#REF!</v>
      </c>
      <c r="AC20" s="54" t="e">
        <f>IF(AND('Administrativo '!#REF!="Alta",'Administrativo '!#REF!="Mayor"),CONCATENATE("R5C",'Administrativo '!#REF!),"")</f>
        <v>#REF!</v>
      </c>
      <c r="AD20" s="54" t="e">
        <f>IF(AND('Administrativo '!#REF!="Alta",'Administrativo '!#REF!="Mayor"),CONCATENATE("R5C",'Administrativo '!#REF!),"")</f>
        <v>#REF!</v>
      </c>
      <c r="AE20" s="54" t="e">
        <f>IF(AND('Administrativo '!#REF!="Alta",'Administrativo '!#REF!="Mayor"),CONCATENATE("R5C",'Administrativo '!#REF!),"")</f>
        <v>#REF!</v>
      </c>
      <c r="AF20" s="54" t="e">
        <f>IF(AND('Administrativo '!#REF!="Alta",'Administrativo '!#REF!="Mayor"),CONCATENATE("R5C",'Administrativo '!#REF!),"")</f>
        <v>#REF!</v>
      </c>
      <c r="AG20" s="55" t="e">
        <f>IF(AND('Administrativo '!#REF!="Alta",'Administrativo '!#REF!="Mayor"),CONCATENATE("R5C",'Administrativo '!#REF!),"")</f>
        <v>#REF!</v>
      </c>
      <c r="AH20" s="56" t="e">
        <f>IF(AND('Administrativo '!#REF!="Alta",'Administrativo '!#REF!="Catastrófico"),CONCATENATE("R5C",'Administrativo '!#REF!),"")</f>
        <v>#REF!</v>
      </c>
      <c r="AI20" s="57" t="e">
        <f>IF(AND('Administrativo '!#REF!="Alta",'Administrativo '!#REF!="Catastrófico"),CONCATENATE("R5C",'Administrativo '!#REF!),"")</f>
        <v>#REF!</v>
      </c>
      <c r="AJ20" s="57" t="e">
        <f>IF(AND('Administrativo '!#REF!="Alta",'Administrativo '!#REF!="Catastrófico"),CONCATENATE("R5C",'Administrativo '!#REF!),"")</f>
        <v>#REF!</v>
      </c>
      <c r="AK20" s="57" t="e">
        <f>IF(AND('Administrativo '!#REF!="Alta",'Administrativo '!#REF!="Catastrófico"),CONCATENATE("R5C",'Administrativo '!#REF!),"")</f>
        <v>#REF!</v>
      </c>
      <c r="AL20" s="57" t="e">
        <f>IF(AND('Administrativo '!#REF!="Alta",'Administrativo '!#REF!="Catastrófico"),CONCATENATE("R5C",'Administrativo '!#REF!),"")</f>
        <v>#REF!</v>
      </c>
      <c r="AM20" s="58" t="e">
        <f>IF(AND('Administrativo '!#REF!="Alta",'Administrativo '!#REF!="Catastrófico"),CONCATENATE("R5C",'Administrativo '!#REF!),"")</f>
        <v>#REF!</v>
      </c>
      <c r="AN20" s="84"/>
      <c r="AO20" s="412"/>
      <c r="AP20" s="413"/>
      <c r="AQ20" s="413"/>
      <c r="AR20" s="413"/>
      <c r="AS20" s="413"/>
      <c r="AT20" s="41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361"/>
      <c r="C21" s="361"/>
      <c r="D21" s="362"/>
      <c r="E21" s="402"/>
      <c r="F21" s="403"/>
      <c r="G21" s="403"/>
      <c r="H21" s="403"/>
      <c r="I21" s="403"/>
      <c r="J21" s="68" t="e">
        <f>IF(AND('Administrativo '!#REF!="Alta",'Administrativo '!#REF!="Leve"),CONCATENATE("R6C",'Administrativo '!#REF!),"")</f>
        <v>#REF!</v>
      </c>
      <c r="K21" s="69" t="e">
        <f>IF(AND('Administrativo '!#REF!="Alta",'Administrativo '!#REF!="Leve"),CONCATENATE("R6C",'Administrativo '!#REF!),"")</f>
        <v>#REF!</v>
      </c>
      <c r="L21" s="69" t="e">
        <f>IF(AND('Administrativo '!#REF!="Alta",'Administrativo '!#REF!="Leve"),CONCATENATE("R6C",'Administrativo '!#REF!),"")</f>
        <v>#REF!</v>
      </c>
      <c r="M21" s="69" t="e">
        <f>IF(AND('Administrativo '!#REF!="Alta",'Administrativo '!#REF!="Leve"),CONCATENATE("R6C",'Administrativo '!#REF!),"")</f>
        <v>#REF!</v>
      </c>
      <c r="N21" s="69" t="e">
        <f>IF(AND('Administrativo '!#REF!="Alta",'Administrativo '!#REF!="Leve"),CONCATENATE("R6C",'Administrativo '!#REF!),"")</f>
        <v>#REF!</v>
      </c>
      <c r="O21" s="70" t="e">
        <f>IF(AND('Administrativo '!#REF!="Alta",'Administrativo '!#REF!="Leve"),CONCATENATE("R6C",'Administrativo '!#REF!),"")</f>
        <v>#REF!</v>
      </c>
      <c r="P21" s="68" t="e">
        <f>IF(AND('Administrativo '!#REF!="Alta",'Administrativo '!#REF!="Menor"),CONCATENATE("R6C",'Administrativo '!#REF!),"")</f>
        <v>#REF!</v>
      </c>
      <c r="Q21" s="69" t="e">
        <f>IF(AND('Administrativo '!#REF!="Alta",'Administrativo '!#REF!="Menor"),CONCATENATE("R6C",'Administrativo '!#REF!),"")</f>
        <v>#REF!</v>
      </c>
      <c r="R21" s="69" t="e">
        <f>IF(AND('Administrativo '!#REF!="Alta",'Administrativo '!#REF!="Menor"),CONCATENATE("R6C",'Administrativo '!#REF!),"")</f>
        <v>#REF!</v>
      </c>
      <c r="S21" s="69" t="e">
        <f>IF(AND('Administrativo '!#REF!="Alta",'Administrativo '!#REF!="Menor"),CONCATENATE("R6C",'Administrativo '!#REF!),"")</f>
        <v>#REF!</v>
      </c>
      <c r="T21" s="69" t="e">
        <f>IF(AND('Administrativo '!#REF!="Alta",'Administrativo '!#REF!="Menor"),CONCATENATE("R6C",'Administrativo '!#REF!),"")</f>
        <v>#REF!</v>
      </c>
      <c r="U21" s="70" t="e">
        <f>IF(AND('Administrativo '!#REF!="Alta",'Administrativo '!#REF!="Menor"),CONCATENATE("R6C",'Administrativo '!#REF!),"")</f>
        <v>#REF!</v>
      </c>
      <c r="V21" s="53" t="e">
        <f>IF(AND('Administrativo '!#REF!="Alta",'Administrativo '!#REF!="Moderado"),CONCATENATE("R6C",'Administrativo '!#REF!),"")</f>
        <v>#REF!</v>
      </c>
      <c r="W21" s="54" t="e">
        <f>IF(AND('Administrativo '!#REF!="Alta",'Administrativo '!#REF!="Moderado"),CONCATENATE("R6C",'Administrativo '!#REF!),"")</f>
        <v>#REF!</v>
      </c>
      <c r="X21" s="54" t="e">
        <f>IF(AND('Administrativo '!#REF!="Alta",'Administrativo '!#REF!="Moderado"),CONCATENATE("R6C",'Administrativo '!#REF!),"")</f>
        <v>#REF!</v>
      </c>
      <c r="Y21" s="54" t="e">
        <f>IF(AND('Administrativo '!#REF!="Alta",'Administrativo '!#REF!="Moderado"),CONCATENATE("R6C",'Administrativo '!#REF!),"")</f>
        <v>#REF!</v>
      </c>
      <c r="Z21" s="54" t="e">
        <f>IF(AND('Administrativo '!#REF!="Alta",'Administrativo '!#REF!="Moderado"),CONCATENATE("R6C",'Administrativo '!#REF!),"")</f>
        <v>#REF!</v>
      </c>
      <c r="AA21" s="55" t="e">
        <f>IF(AND('Administrativo '!#REF!="Alta",'Administrativo '!#REF!="Moderado"),CONCATENATE("R6C",'Administrativo '!#REF!),"")</f>
        <v>#REF!</v>
      </c>
      <c r="AB21" s="53" t="e">
        <f>IF(AND('Administrativo '!#REF!="Alta",'Administrativo '!#REF!="Mayor"),CONCATENATE("R6C",'Administrativo '!#REF!),"")</f>
        <v>#REF!</v>
      </c>
      <c r="AC21" s="54" t="e">
        <f>IF(AND('Administrativo '!#REF!="Alta",'Administrativo '!#REF!="Mayor"),CONCATENATE("R6C",'Administrativo '!#REF!),"")</f>
        <v>#REF!</v>
      </c>
      <c r="AD21" s="54" t="e">
        <f>IF(AND('Administrativo '!#REF!="Alta",'Administrativo '!#REF!="Mayor"),CONCATENATE("R6C",'Administrativo '!#REF!),"")</f>
        <v>#REF!</v>
      </c>
      <c r="AE21" s="54" t="e">
        <f>IF(AND('Administrativo '!#REF!="Alta",'Administrativo '!#REF!="Mayor"),CONCATENATE("R6C",'Administrativo '!#REF!),"")</f>
        <v>#REF!</v>
      </c>
      <c r="AF21" s="54" t="e">
        <f>IF(AND('Administrativo '!#REF!="Alta",'Administrativo '!#REF!="Mayor"),CONCATENATE("R6C",'Administrativo '!#REF!),"")</f>
        <v>#REF!</v>
      </c>
      <c r="AG21" s="55" t="e">
        <f>IF(AND('Administrativo '!#REF!="Alta",'Administrativo '!#REF!="Mayor"),CONCATENATE("R6C",'Administrativo '!#REF!),"")</f>
        <v>#REF!</v>
      </c>
      <c r="AH21" s="56" t="e">
        <f>IF(AND('Administrativo '!#REF!="Alta",'Administrativo '!#REF!="Catastrófico"),CONCATENATE("R6C",'Administrativo '!#REF!),"")</f>
        <v>#REF!</v>
      </c>
      <c r="AI21" s="57" t="e">
        <f>IF(AND('Administrativo '!#REF!="Alta",'Administrativo '!#REF!="Catastrófico"),CONCATENATE("R6C",'Administrativo '!#REF!),"")</f>
        <v>#REF!</v>
      </c>
      <c r="AJ21" s="57" t="e">
        <f>IF(AND('Administrativo '!#REF!="Alta",'Administrativo '!#REF!="Catastrófico"),CONCATENATE("R6C",'Administrativo '!#REF!),"")</f>
        <v>#REF!</v>
      </c>
      <c r="AK21" s="57" t="e">
        <f>IF(AND('Administrativo '!#REF!="Alta",'Administrativo '!#REF!="Catastrófico"),CONCATENATE("R6C",'Administrativo '!#REF!),"")</f>
        <v>#REF!</v>
      </c>
      <c r="AL21" s="57" t="e">
        <f>IF(AND('Administrativo '!#REF!="Alta",'Administrativo '!#REF!="Catastrófico"),CONCATENATE("R6C",'Administrativo '!#REF!),"")</f>
        <v>#REF!</v>
      </c>
      <c r="AM21" s="58" t="e">
        <f>IF(AND('Administrativo '!#REF!="Alta",'Administrativo '!#REF!="Catastrófico"),CONCATENATE("R6C",'Administrativo '!#REF!),"")</f>
        <v>#REF!</v>
      </c>
      <c r="AN21" s="84"/>
      <c r="AO21" s="412"/>
      <c r="AP21" s="413"/>
      <c r="AQ21" s="413"/>
      <c r="AR21" s="413"/>
      <c r="AS21" s="413"/>
      <c r="AT21" s="41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361"/>
      <c r="C22" s="361"/>
      <c r="D22" s="362"/>
      <c r="E22" s="402"/>
      <c r="F22" s="403"/>
      <c r="G22" s="403"/>
      <c r="H22" s="403"/>
      <c r="I22" s="403"/>
      <c r="J22" s="68" t="e">
        <f>IF(AND('Administrativo '!#REF!="Alta",'Administrativo '!#REF!="Leve"),CONCATENATE("R7C",'Administrativo '!#REF!),"")</f>
        <v>#REF!</v>
      </c>
      <c r="K22" s="69" t="e">
        <f>IF(AND('Administrativo '!#REF!="Alta",'Administrativo '!#REF!="Leve"),CONCATENATE("R7C",'Administrativo '!#REF!),"")</f>
        <v>#REF!</v>
      </c>
      <c r="L22" s="69" t="e">
        <f>IF(AND('Administrativo '!#REF!="Alta",'Administrativo '!#REF!="Leve"),CONCATENATE("R7C",'Administrativo '!#REF!),"")</f>
        <v>#REF!</v>
      </c>
      <c r="M22" s="69" t="e">
        <f>IF(AND('Administrativo '!#REF!="Alta",'Administrativo '!#REF!="Leve"),CONCATENATE("R7C",'Administrativo '!#REF!),"")</f>
        <v>#REF!</v>
      </c>
      <c r="N22" s="69" t="e">
        <f>IF(AND('Administrativo '!#REF!="Alta",'Administrativo '!#REF!="Leve"),CONCATENATE("R7C",'Administrativo '!#REF!),"")</f>
        <v>#REF!</v>
      </c>
      <c r="O22" s="70" t="e">
        <f>IF(AND('Administrativo '!#REF!="Alta",'Administrativo '!#REF!="Leve"),CONCATENATE("R7C",'Administrativo '!#REF!),"")</f>
        <v>#REF!</v>
      </c>
      <c r="P22" s="68" t="e">
        <f>IF(AND('Administrativo '!#REF!="Alta",'Administrativo '!#REF!="Menor"),CONCATENATE("R7C",'Administrativo '!#REF!),"")</f>
        <v>#REF!</v>
      </c>
      <c r="Q22" s="69" t="e">
        <f>IF(AND('Administrativo '!#REF!="Alta",'Administrativo '!#REF!="Menor"),CONCATENATE("R7C",'Administrativo '!#REF!),"")</f>
        <v>#REF!</v>
      </c>
      <c r="R22" s="69" t="e">
        <f>IF(AND('Administrativo '!#REF!="Alta",'Administrativo '!#REF!="Menor"),CONCATENATE("R7C",'Administrativo '!#REF!),"")</f>
        <v>#REF!</v>
      </c>
      <c r="S22" s="69" t="e">
        <f>IF(AND('Administrativo '!#REF!="Alta",'Administrativo '!#REF!="Menor"),CONCATENATE("R7C",'Administrativo '!#REF!),"")</f>
        <v>#REF!</v>
      </c>
      <c r="T22" s="69" t="e">
        <f>IF(AND('Administrativo '!#REF!="Alta",'Administrativo '!#REF!="Menor"),CONCATENATE("R7C",'Administrativo '!#REF!),"")</f>
        <v>#REF!</v>
      </c>
      <c r="U22" s="70" t="e">
        <f>IF(AND('Administrativo '!#REF!="Alta",'Administrativo '!#REF!="Menor"),CONCATENATE("R7C",'Administrativo '!#REF!),"")</f>
        <v>#REF!</v>
      </c>
      <c r="V22" s="53" t="e">
        <f>IF(AND('Administrativo '!#REF!="Alta",'Administrativo '!#REF!="Moderado"),CONCATENATE("R7C",'Administrativo '!#REF!),"")</f>
        <v>#REF!</v>
      </c>
      <c r="W22" s="54" t="e">
        <f>IF(AND('Administrativo '!#REF!="Alta",'Administrativo '!#REF!="Moderado"),CONCATENATE("R7C",'Administrativo '!#REF!),"")</f>
        <v>#REF!</v>
      </c>
      <c r="X22" s="54" t="e">
        <f>IF(AND('Administrativo '!#REF!="Alta",'Administrativo '!#REF!="Moderado"),CONCATENATE("R7C",'Administrativo '!#REF!),"")</f>
        <v>#REF!</v>
      </c>
      <c r="Y22" s="54" t="e">
        <f>IF(AND('Administrativo '!#REF!="Alta",'Administrativo '!#REF!="Moderado"),CONCATENATE("R7C",'Administrativo '!#REF!),"")</f>
        <v>#REF!</v>
      </c>
      <c r="Z22" s="54" t="e">
        <f>IF(AND('Administrativo '!#REF!="Alta",'Administrativo '!#REF!="Moderado"),CONCATENATE("R7C",'Administrativo '!#REF!),"")</f>
        <v>#REF!</v>
      </c>
      <c r="AA22" s="55" t="e">
        <f>IF(AND('Administrativo '!#REF!="Alta",'Administrativo '!#REF!="Moderado"),CONCATENATE("R7C",'Administrativo '!#REF!),"")</f>
        <v>#REF!</v>
      </c>
      <c r="AB22" s="53" t="e">
        <f>IF(AND('Administrativo '!#REF!="Alta",'Administrativo '!#REF!="Mayor"),CONCATENATE("R7C",'Administrativo '!#REF!),"")</f>
        <v>#REF!</v>
      </c>
      <c r="AC22" s="54" t="e">
        <f>IF(AND('Administrativo '!#REF!="Alta",'Administrativo '!#REF!="Mayor"),CONCATENATE("R7C",'Administrativo '!#REF!),"")</f>
        <v>#REF!</v>
      </c>
      <c r="AD22" s="54" t="e">
        <f>IF(AND('Administrativo '!#REF!="Alta",'Administrativo '!#REF!="Mayor"),CONCATENATE("R7C",'Administrativo '!#REF!),"")</f>
        <v>#REF!</v>
      </c>
      <c r="AE22" s="54" t="e">
        <f>IF(AND('Administrativo '!#REF!="Alta",'Administrativo '!#REF!="Mayor"),CONCATENATE("R7C",'Administrativo '!#REF!),"")</f>
        <v>#REF!</v>
      </c>
      <c r="AF22" s="54" t="e">
        <f>IF(AND('Administrativo '!#REF!="Alta",'Administrativo '!#REF!="Mayor"),CONCATENATE("R7C",'Administrativo '!#REF!),"")</f>
        <v>#REF!</v>
      </c>
      <c r="AG22" s="55" t="e">
        <f>IF(AND('Administrativo '!#REF!="Alta",'Administrativo '!#REF!="Mayor"),CONCATENATE("R7C",'Administrativo '!#REF!),"")</f>
        <v>#REF!</v>
      </c>
      <c r="AH22" s="56" t="e">
        <f>IF(AND('Administrativo '!#REF!="Alta",'Administrativo '!#REF!="Catastrófico"),CONCATENATE("R7C",'Administrativo '!#REF!),"")</f>
        <v>#REF!</v>
      </c>
      <c r="AI22" s="57" t="e">
        <f>IF(AND('Administrativo '!#REF!="Alta",'Administrativo '!#REF!="Catastrófico"),CONCATENATE("R7C",'Administrativo '!#REF!),"")</f>
        <v>#REF!</v>
      </c>
      <c r="AJ22" s="57" t="e">
        <f>IF(AND('Administrativo '!#REF!="Alta",'Administrativo '!#REF!="Catastrófico"),CONCATENATE("R7C",'Administrativo '!#REF!),"")</f>
        <v>#REF!</v>
      </c>
      <c r="AK22" s="57" t="e">
        <f>IF(AND('Administrativo '!#REF!="Alta",'Administrativo '!#REF!="Catastrófico"),CONCATENATE("R7C",'Administrativo '!#REF!),"")</f>
        <v>#REF!</v>
      </c>
      <c r="AL22" s="57" t="e">
        <f>IF(AND('Administrativo '!#REF!="Alta",'Administrativo '!#REF!="Catastrófico"),CONCATENATE("R7C",'Administrativo '!#REF!),"")</f>
        <v>#REF!</v>
      </c>
      <c r="AM22" s="58" t="e">
        <f>IF(AND('Administrativo '!#REF!="Alta",'Administrativo '!#REF!="Catastrófico"),CONCATENATE("R7C",'Administrativo '!#REF!),"")</f>
        <v>#REF!</v>
      </c>
      <c r="AN22" s="84"/>
      <c r="AO22" s="412"/>
      <c r="AP22" s="413"/>
      <c r="AQ22" s="413"/>
      <c r="AR22" s="413"/>
      <c r="AS22" s="413"/>
      <c r="AT22" s="41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361"/>
      <c r="C23" s="361"/>
      <c r="D23" s="362"/>
      <c r="E23" s="402"/>
      <c r="F23" s="403"/>
      <c r="G23" s="403"/>
      <c r="H23" s="403"/>
      <c r="I23" s="403"/>
      <c r="J23" s="68" t="e">
        <f>IF(AND('Administrativo '!#REF!="Alta",'Administrativo '!#REF!="Leve"),CONCATENATE("R8C",'Administrativo '!#REF!),"")</f>
        <v>#REF!</v>
      </c>
      <c r="K23" s="69" t="e">
        <f>IF(AND('Administrativo '!#REF!="Alta",'Administrativo '!#REF!="Leve"),CONCATENATE("R8C",'Administrativo '!#REF!),"")</f>
        <v>#REF!</v>
      </c>
      <c r="L23" s="69" t="e">
        <f>IF(AND('Administrativo '!#REF!="Alta",'Administrativo '!#REF!="Leve"),CONCATENATE("R8C",'Administrativo '!#REF!),"")</f>
        <v>#REF!</v>
      </c>
      <c r="M23" s="69" t="e">
        <f>IF(AND('Administrativo '!#REF!="Alta",'Administrativo '!#REF!="Leve"),CONCATENATE("R8C",'Administrativo '!#REF!),"")</f>
        <v>#REF!</v>
      </c>
      <c r="N23" s="69" t="e">
        <f>IF(AND('Administrativo '!#REF!="Alta",'Administrativo '!#REF!="Leve"),CONCATENATE("R8C",'Administrativo '!#REF!),"")</f>
        <v>#REF!</v>
      </c>
      <c r="O23" s="70" t="e">
        <f>IF(AND('Administrativo '!#REF!="Alta",'Administrativo '!#REF!="Leve"),CONCATENATE("R8C",'Administrativo '!#REF!),"")</f>
        <v>#REF!</v>
      </c>
      <c r="P23" s="68" t="e">
        <f>IF(AND('Administrativo '!#REF!="Alta",'Administrativo '!#REF!="Menor"),CONCATENATE("R8C",'Administrativo '!#REF!),"")</f>
        <v>#REF!</v>
      </c>
      <c r="Q23" s="69" t="e">
        <f>IF(AND('Administrativo '!#REF!="Alta",'Administrativo '!#REF!="Menor"),CONCATENATE("R8C",'Administrativo '!#REF!),"")</f>
        <v>#REF!</v>
      </c>
      <c r="R23" s="69" t="e">
        <f>IF(AND('Administrativo '!#REF!="Alta",'Administrativo '!#REF!="Menor"),CONCATENATE("R8C",'Administrativo '!#REF!),"")</f>
        <v>#REF!</v>
      </c>
      <c r="S23" s="69" t="e">
        <f>IF(AND('Administrativo '!#REF!="Alta",'Administrativo '!#REF!="Menor"),CONCATENATE("R8C",'Administrativo '!#REF!),"")</f>
        <v>#REF!</v>
      </c>
      <c r="T23" s="69" t="e">
        <f>IF(AND('Administrativo '!#REF!="Alta",'Administrativo '!#REF!="Menor"),CONCATENATE("R8C",'Administrativo '!#REF!),"")</f>
        <v>#REF!</v>
      </c>
      <c r="U23" s="70" t="e">
        <f>IF(AND('Administrativo '!#REF!="Alta",'Administrativo '!#REF!="Menor"),CONCATENATE("R8C",'Administrativo '!#REF!),"")</f>
        <v>#REF!</v>
      </c>
      <c r="V23" s="53" t="e">
        <f>IF(AND('Administrativo '!#REF!="Alta",'Administrativo '!#REF!="Moderado"),CONCATENATE("R8C",'Administrativo '!#REF!),"")</f>
        <v>#REF!</v>
      </c>
      <c r="W23" s="54" t="e">
        <f>IF(AND('Administrativo '!#REF!="Alta",'Administrativo '!#REF!="Moderado"),CONCATENATE("R8C",'Administrativo '!#REF!),"")</f>
        <v>#REF!</v>
      </c>
      <c r="X23" s="54" t="e">
        <f>IF(AND('Administrativo '!#REF!="Alta",'Administrativo '!#REF!="Moderado"),CONCATENATE("R8C",'Administrativo '!#REF!),"")</f>
        <v>#REF!</v>
      </c>
      <c r="Y23" s="54" t="e">
        <f>IF(AND('Administrativo '!#REF!="Alta",'Administrativo '!#REF!="Moderado"),CONCATENATE("R8C",'Administrativo '!#REF!),"")</f>
        <v>#REF!</v>
      </c>
      <c r="Z23" s="54" t="e">
        <f>IF(AND('Administrativo '!#REF!="Alta",'Administrativo '!#REF!="Moderado"),CONCATENATE("R8C",'Administrativo '!#REF!),"")</f>
        <v>#REF!</v>
      </c>
      <c r="AA23" s="55" t="e">
        <f>IF(AND('Administrativo '!#REF!="Alta",'Administrativo '!#REF!="Moderado"),CONCATENATE("R8C",'Administrativo '!#REF!),"")</f>
        <v>#REF!</v>
      </c>
      <c r="AB23" s="53" t="e">
        <f>IF(AND('Administrativo '!#REF!="Alta",'Administrativo '!#REF!="Mayor"),CONCATENATE("R8C",'Administrativo '!#REF!),"")</f>
        <v>#REF!</v>
      </c>
      <c r="AC23" s="54" t="e">
        <f>IF(AND('Administrativo '!#REF!="Alta",'Administrativo '!#REF!="Mayor"),CONCATENATE("R8C",'Administrativo '!#REF!),"")</f>
        <v>#REF!</v>
      </c>
      <c r="AD23" s="54" t="e">
        <f>IF(AND('Administrativo '!#REF!="Alta",'Administrativo '!#REF!="Mayor"),CONCATENATE("R8C",'Administrativo '!#REF!),"")</f>
        <v>#REF!</v>
      </c>
      <c r="AE23" s="54" t="e">
        <f>IF(AND('Administrativo '!#REF!="Alta",'Administrativo '!#REF!="Mayor"),CONCATENATE("R8C",'Administrativo '!#REF!),"")</f>
        <v>#REF!</v>
      </c>
      <c r="AF23" s="54" t="e">
        <f>IF(AND('Administrativo '!#REF!="Alta",'Administrativo '!#REF!="Mayor"),CONCATENATE("R8C",'Administrativo '!#REF!),"")</f>
        <v>#REF!</v>
      </c>
      <c r="AG23" s="55" t="e">
        <f>IF(AND('Administrativo '!#REF!="Alta",'Administrativo '!#REF!="Mayor"),CONCATENATE("R8C",'Administrativo '!#REF!),"")</f>
        <v>#REF!</v>
      </c>
      <c r="AH23" s="56" t="e">
        <f>IF(AND('Administrativo '!#REF!="Alta",'Administrativo '!#REF!="Catastrófico"),CONCATENATE("R8C",'Administrativo '!#REF!),"")</f>
        <v>#REF!</v>
      </c>
      <c r="AI23" s="57" t="e">
        <f>IF(AND('Administrativo '!#REF!="Alta",'Administrativo '!#REF!="Catastrófico"),CONCATENATE("R8C",'Administrativo '!#REF!),"")</f>
        <v>#REF!</v>
      </c>
      <c r="AJ23" s="57" t="e">
        <f>IF(AND('Administrativo '!#REF!="Alta",'Administrativo '!#REF!="Catastrófico"),CONCATENATE("R8C",'Administrativo '!#REF!),"")</f>
        <v>#REF!</v>
      </c>
      <c r="AK23" s="57" t="e">
        <f>IF(AND('Administrativo '!#REF!="Alta",'Administrativo '!#REF!="Catastrófico"),CONCATENATE("R8C",'Administrativo '!#REF!),"")</f>
        <v>#REF!</v>
      </c>
      <c r="AL23" s="57" t="e">
        <f>IF(AND('Administrativo '!#REF!="Alta",'Administrativo '!#REF!="Catastrófico"),CONCATENATE("R8C",'Administrativo '!#REF!),"")</f>
        <v>#REF!</v>
      </c>
      <c r="AM23" s="58" t="e">
        <f>IF(AND('Administrativo '!#REF!="Alta",'Administrativo '!#REF!="Catastrófico"),CONCATENATE("R8C",'Administrativo '!#REF!),"")</f>
        <v>#REF!</v>
      </c>
      <c r="AN23" s="84"/>
      <c r="AO23" s="412"/>
      <c r="AP23" s="413"/>
      <c r="AQ23" s="413"/>
      <c r="AR23" s="413"/>
      <c r="AS23" s="413"/>
      <c r="AT23" s="41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361"/>
      <c r="C24" s="361"/>
      <c r="D24" s="362"/>
      <c r="E24" s="402"/>
      <c r="F24" s="403"/>
      <c r="G24" s="403"/>
      <c r="H24" s="403"/>
      <c r="I24" s="403"/>
      <c r="J24" s="68" t="e">
        <f>IF(AND('Administrativo '!#REF!="Alta",'Administrativo '!#REF!="Leve"),CONCATENATE("R9C",'Administrativo '!#REF!),"")</f>
        <v>#REF!</v>
      </c>
      <c r="K24" s="69" t="e">
        <f>IF(AND('Administrativo '!#REF!="Alta",'Administrativo '!#REF!="Leve"),CONCATENATE("R9C",'Administrativo '!#REF!),"")</f>
        <v>#REF!</v>
      </c>
      <c r="L24" s="69" t="e">
        <f>IF(AND('Administrativo '!#REF!="Alta",'Administrativo '!#REF!="Leve"),CONCATENATE("R9C",'Administrativo '!#REF!),"")</f>
        <v>#REF!</v>
      </c>
      <c r="M24" s="69" t="e">
        <f>IF(AND('Administrativo '!#REF!="Alta",'Administrativo '!#REF!="Leve"),CONCATENATE("R9C",'Administrativo '!#REF!),"")</f>
        <v>#REF!</v>
      </c>
      <c r="N24" s="69" t="e">
        <f>IF(AND('Administrativo '!#REF!="Alta",'Administrativo '!#REF!="Leve"),CONCATENATE("R9C",'Administrativo '!#REF!),"")</f>
        <v>#REF!</v>
      </c>
      <c r="O24" s="70" t="e">
        <f>IF(AND('Administrativo '!#REF!="Alta",'Administrativo '!#REF!="Leve"),CONCATENATE("R9C",'Administrativo '!#REF!),"")</f>
        <v>#REF!</v>
      </c>
      <c r="P24" s="68" t="e">
        <f>IF(AND('Administrativo '!#REF!="Alta",'Administrativo '!#REF!="Menor"),CONCATENATE("R9C",'Administrativo '!#REF!),"")</f>
        <v>#REF!</v>
      </c>
      <c r="Q24" s="69" t="e">
        <f>IF(AND('Administrativo '!#REF!="Alta",'Administrativo '!#REF!="Menor"),CONCATENATE("R9C",'Administrativo '!#REF!),"")</f>
        <v>#REF!</v>
      </c>
      <c r="R24" s="69" t="e">
        <f>IF(AND('Administrativo '!#REF!="Alta",'Administrativo '!#REF!="Menor"),CONCATENATE("R9C",'Administrativo '!#REF!),"")</f>
        <v>#REF!</v>
      </c>
      <c r="S24" s="69" t="e">
        <f>IF(AND('Administrativo '!#REF!="Alta",'Administrativo '!#REF!="Menor"),CONCATENATE("R9C",'Administrativo '!#REF!),"")</f>
        <v>#REF!</v>
      </c>
      <c r="T24" s="69" t="e">
        <f>IF(AND('Administrativo '!#REF!="Alta",'Administrativo '!#REF!="Menor"),CONCATENATE("R9C",'Administrativo '!#REF!),"")</f>
        <v>#REF!</v>
      </c>
      <c r="U24" s="70" t="e">
        <f>IF(AND('Administrativo '!#REF!="Alta",'Administrativo '!#REF!="Menor"),CONCATENATE("R9C",'Administrativo '!#REF!),"")</f>
        <v>#REF!</v>
      </c>
      <c r="V24" s="53" t="e">
        <f>IF(AND('Administrativo '!#REF!="Alta",'Administrativo '!#REF!="Moderado"),CONCATENATE("R9C",'Administrativo '!#REF!),"")</f>
        <v>#REF!</v>
      </c>
      <c r="W24" s="54" t="e">
        <f>IF(AND('Administrativo '!#REF!="Alta",'Administrativo '!#REF!="Moderado"),CONCATENATE("R9C",'Administrativo '!#REF!),"")</f>
        <v>#REF!</v>
      </c>
      <c r="X24" s="54" t="e">
        <f>IF(AND('Administrativo '!#REF!="Alta",'Administrativo '!#REF!="Moderado"),CONCATENATE("R9C",'Administrativo '!#REF!),"")</f>
        <v>#REF!</v>
      </c>
      <c r="Y24" s="54" t="e">
        <f>IF(AND('Administrativo '!#REF!="Alta",'Administrativo '!#REF!="Moderado"),CONCATENATE("R9C",'Administrativo '!#REF!),"")</f>
        <v>#REF!</v>
      </c>
      <c r="Z24" s="54" t="e">
        <f>IF(AND('Administrativo '!#REF!="Alta",'Administrativo '!#REF!="Moderado"),CONCATENATE("R9C",'Administrativo '!#REF!),"")</f>
        <v>#REF!</v>
      </c>
      <c r="AA24" s="55" t="e">
        <f>IF(AND('Administrativo '!#REF!="Alta",'Administrativo '!#REF!="Moderado"),CONCATENATE("R9C",'Administrativo '!#REF!),"")</f>
        <v>#REF!</v>
      </c>
      <c r="AB24" s="53" t="e">
        <f>IF(AND('Administrativo '!#REF!="Alta",'Administrativo '!#REF!="Mayor"),CONCATENATE("R9C",'Administrativo '!#REF!),"")</f>
        <v>#REF!</v>
      </c>
      <c r="AC24" s="54" t="e">
        <f>IF(AND('Administrativo '!#REF!="Alta",'Administrativo '!#REF!="Mayor"),CONCATENATE("R9C",'Administrativo '!#REF!),"")</f>
        <v>#REF!</v>
      </c>
      <c r="AD24" s="54" t="e">
        <f>IF(AND('Administrativo '!#REF!="Alta",'Administrativo '!#REF!="Mayor"),CONCATENATE("R9C",'Administrativo '!#REF!),"")</f>
        <v>#REF!</v>
      </c>
      <c r="AE24" s="54" t="e">
        <f>IF(AND('Administrativo '!#REF!="Alta",'Administrativo '!#REF!="Mayor"),CONCATENATE("R9C",'Administrativo '!#REF!),"")</f>
        <v>#REF!</v>
      </c>
      <c r="AF24" s="54" t="e">
        <f>IF(AND('Administrativo '!#REF!="Alta",'Administrativo '!#REF!="Mayor"),CONCATENATE("R9C",'Administrativo '!#REF!),"")</f>
        <v>#REF!</v>
      </c>
      <c r="AG24" s="55" t="e">
        <f>IF(AND('Administrativo '!#REF!="Alta",'Administrativo '!#REF!="Mayor"),CONCATENATE("R9C",'Administrativo '!#REF!),"")</f>
        <v>#REF!</v>
      </c>
      <c r="AH24" s="56" t="e">
        <f>IF(AND('Administrativo '!#REF!="Alta",'Administrativo '!#REF!="Catastrófico"),CONCATENATE("R9C",'Administrativo '!#REF!),"")</f>
        <v>#REF!</v>
      </c>
      <c r="AI24" s="57" t="e">
        <f>IF(AND('Administrativo '!#REF!="Alta",'Administrativo '!#REF!="Catastrófico"),CONCATENATE("R9C",'Administrativo '!#REF!),"")</f>
        <v>#REF!</v>
      </c>
      <c r="AJ24" s="57" t="e">
        <f>IF(AND('Administrativo '!#REF!="Alta",'Administrativo '!#REF!="Catastrófico"),CONCATENATE("R9C",'Administrativo '!#REF!),"")</f>
        <v>#REF!</v>
      </c>
      <c r="AK24" s="57" t="e">
        <f>IF(AND('Administrativo '!#REF!="Alta",'Administrativo '!#REF!="Catastrófico"),CONCATENATE("R9C",'Administrativo '!#REF!),"")</f>
        <v>#REF!</v>
      </c>
      <c r="AL24" s="57" t="e">
        <f>IF(AND('Administrativo '!#REF!="Alta",'Administrativo '!#REF!="Catastrófico"),CONCATENATE("R9C",'Administrativo '!#REF!),"")</f>
        <v>#REF!</v>
      </c>
      <c r="AM24" s="58" t="e">
        <f>IF(AND('Administrativo '!#REF!="Alta",'Administrativo '!#REF!="Catastrófico"),CONCATENATE("R9C",'Administrativo '!#REF!),"")</f>
        <v>#REF!</v>
      </c>
      <c r="AN24" s="84"/>
      <c r="AO24" s="412"/>
      <c r="AP24" s="413"/>
      <c r="AQ24" s="413"/>
      <c r="AR24" s="413"/>
      <c r="AS24" s="413"/>
      <c r="AT24" s="41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361"/>
      <c r="C25" s="361"/>
      <c r="D25" s="362"/>
      <c r="E25" s="405"/>
      <c r="F25" s="406"/>
      <c r="G25" s="406"/>
      <c r="H25" s="406"/>
      <c r="I25" s="406"/>
      <c r="J25" s="71" t="e">
        <f>IF(AND('Administrativo '!#REF!="Alta",'Administrativo '!#REF!="Leve"),CONCATENATE("R10C",'Administrativo '!#REF!),"")</f>
        <v>#REF!</v>
      </c>
      <c r="K25" s="72" t="e">
        <f>IF(AND('Administrativo '!#REF!="Alta",'Administrativo '!#REF!="Leve"),CONCATENATE("R10C",'Administrativo '!#REF!),"")</f>
        <v>#REF!</v>
      </c>
      <c r="L25" s="72" t="e">
        <f>IF(AND('Administrativo '!#REF!="Alta",'Administrativo '!#REF!="Leve"),CONCATENATE("R10C",'Administrativo '!#REF!),"")</f>
        <v>#REF!</v>
      </c>
      <c r="M25" s="72" t="e">
        <f>IF(AND('Administrativo '!#REF!="Alta",'Administrativo '!#REF!="Leve"),CONCATENATE("R10C",'Administrativo '!#REF!),"")</f>
        <v>#REF!</v>
      </c>
      <c r="N25" s="72" t="e">
        <f>IF(AND('Administrativo '!#REF!="Alta",'Administrativo '!#REF!="Leve"),CONCATENATE("R10C",'Administrativo '!#REF!),"")</f>
        <v>#REF!</v>
      </c>
      <c r="O25" s="73" t="e">
        <f>IF(AND('Administrativo '!#REF!="Alta",'Administrativo '!#REF!="Leve"),CONCATENATE("R10C",'Administrativo '!#REF!),"")</f>
        <v>#REF!</v>
      </c>
      <c r="P25" s="71" t="e">
        <f>IF(AND('Administrativo '!#REF!="Alta",'Administrativo '!#REF!="Menor"),CONCATENATE("R10C",'Administrativo '!#REF!),"")</f>
        <v>#REF!</v>
      </c>
      <c r="Q25" s="72" t="e">
        <f>IF(AND('Administrativo '!#REF!="Alta",'Administrativo '!#REF!="Menor"),CONCATENATE("R10C",'Administrativo '!#REF!),"")</f>
        <v>#REF!</v>
      </c>
      <c r="R25" s="72" t="e">
        <f>IF(AND('Administrativo '!#REF!="Alta",'Administrativo '!#REF!="Menor"),CONCATENATE("R10C",'Administrativo '!#REF!),"")</f>
        <v>#REF!</v>
      </c>
      <c r="S25" s="72" t="e">
        <f>IF(AND('Administrativo '!#REF!="Alta",'Administrativo '!#REF!="Menor"),CONCATENATE("R10C",'Administrativo '!#REF!),"")</f>
        <v>#REF!</v>
      </c>
      <c r="T25" s="72" t="e">
        <f>IF(AND('Administrativo '!#REF!="Alta",'Administrativo '!#REF!="Menor"),CONCATENATE("R10C",'Administrativo '!#REF!),"")</f>
        <v>#REF!</v>
      </c>
      <c r="U25" s="73" t="e">
        <f>IF(AND('Administrativo '!#REF!="Alta",'Administrativo '!#REF!="Menor"),CONCATENATE("R10C",'Administrativo '!#REF!),"")</f>
        <v>#REF!</v>
      </c>
      <c r="V25" s="59" t="e">
        <f>IF(AND('Administrativo '!#REF!="Alta",'Administrativo '!#REF!="Moderado"),CONCATENATE("R10C",'Administrativo '!#REF!),"")</f>
        <v>#REF!</v>
      </c>
      <c r="W25" s="60" t="e">
        <f>IF(AND('Administrativo '!#REF!="Alta",'Administrativo '!#REF!="Moderado"),CONCATENATE("R10C",'Administrativo '!#REF!),"")</f>
        <v>#REF!</v>
      </c>
      <c r="X25" s="60" t="e">
        <f>IF(AND('Administrativo '!#REF!="Alta",'Administrativo '!#REF!="Moderado"),CONCATENATE("R10C",'Administrativo '!#REF!),"")</f>
        <v>#REF!</v>
      </c>
      <c r="Y25" s="60" t="e">
        <f>IF(AND('Administrativo '!#REF!="Alta",'Administrativo '!#REF!="Moderado"),CONCATENATE("R10C",'Administrativo '!#REF!),"")</f>
        <v>#REF!</v>
      </c>
      <c r="Z25" s="60" t="e">
        <f>IF(AND('Administrativo '!#REF!="Alta",'Administrativo '!#REF!="Moderado"),CONCATENATE("R10C",'Administrativo '!#REF!),"")</f>
        <v>#REF!</v>
      </c>
      <c r="AA25" s="61" t="e">
        <f>IF(AND('Administrativo '!#REF!="Alta",'Administrativo '!#REF!="Moderado"),CONCATENATE("R10C",'Administrativo '!#REF!),"")</f>
        <v>#REF!</v>
      </c>
      <c r="AB25" s="59" t="e">
        <f>IF(AND('Administrativo '!#REF!="Alta",'Administrativo '!#REF!="Mayor"),CONCATENATE("R10C",'Administrativo '!#REF!),"")</f>
        <v>#REF!</v>
      </c>
      <c r="AC25" s="60" t="e">
        <f>IF(AND('Administrativo '!#REF!="Alta",'Administrativo '!#REF!="Mayor"),CONCATENATE("R10C",'Administrativo '!#REF!),"")</f>
        <v>#REF!</v>
      </c>
      <c r="AD25" s="60" t="e">
        <f>IF(AND('Administrativo '!#REF!="Alta",'Administrativo '!#REF!="Mayor"),CONCATENATE("R10C",'Administrativo '!#REF!),"")</f>
        <v>#REF!</v>
      </c>
      <c r="AE25" s="60" t="e">
        <f>IF(AND('Administrativo '!#REF!="Alta",'Administrativo '!#REF!="Mayor"),CONCATENATE("R10C",'Administrativo '!#REF!),"")</f>
        <v>#REF!</v>
      </c>
      <c r="AF25" s="60" t="e">
        <f>IF(AND('Administrativo '!#REF!="Alta",'Administrativo '!#REF!="Mayor"),CONCATENATE("R10C",'Administrativo '!#REF!),"")</f>
        <v>#REF!</v>
      </c>
      <c r="AG25" s="61" t="e">
        <f>IF(AND('Administrativo '!#REF!="Alta",'Administrativo '!#REF!="Mayor"),CONCATENATE("R10C",'Administrativo '!#REF!),"")</f>
        <v>#REF!</v>
      </c>
      <c r="AH25" s="62" t="e">
        <f>IF(AND('Administrativo '!#REF!="Alta",'Administrativo '!#REF!="Catastrófico"),CONCATENATE("R10C",'Administrativo '!#REF!),"")</f>
        <v>#REF!</v>
      </c>
      <c r="AI25" s="63" t="e">
        <f>IF(AND('Administrativo '!#REF!="Alta",'Administrativo '!#REF!="Catastrófico"),CONCATENATE("R10C",'Administrativo '!#REF!),"")</f>
        <v>#REF!</v>
      </c>
      <c r="AJ25" s="63" t="e">
        <f>IF(AND('Administrativo '!#REF!="Alta",'Administrativo '!#REF!="Catastrófico"),CONCATENATE("R10C",'Administrativo '!#REF!),"")</f>
        <v>#REF!</v>
      </c>
      <c r="AK25" s="63" t="e">
        <f>IF(AND('Administrativo '!#REF!="Alta",'Administrativo '!#REF!="Catastrófico"),CONCATENATE("R10C",'Administrativo '!#REF!),"")</f>
        <v>#REF!</v>
      </c>
      <c r="AL25" s="63" t="e">
        <f>IF(AND('Administrativo '!#REF!="Alta",'Administrativo '!#REF!="Catastrófico"),CONCATENATE("R10C",'Administrativo '!#REF!),"")</f>
        <v>#REF!</v>
      </c>
      <c r="AM25" s="64" t="e">
        <f>IF(AND('Administrativo '!#REF!="Alta",'Administrativo '!#REF!="Catastrófico"),CONCATENATE("R10C",'Administrativo '!#REF!),"")</f>
        <v>#REF!</v>
      </c>
      <c r="AN25" s="84"/>
      <c r="AO25" s="415"/>
      <c r="AP25" s="416"/>
      <c r="AQ25" s="416"/>
      <c r="AR25" s="416"/>
      <c r="AS25" s="416"/>
      <c r="AT25" s="417"/>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361"/>
      <c r="C26" s="361"/>
      <c r="D26" s="362"/>
      <c r="E26" s="399" t="s">
        <v>119</v>
      </c>
      <c r="F26" s="400"/>
      <c r="G26" s="400"/>
      <c r="H26" s="400"/>
      <c r="I26" s="401"/>
      <c r="J26" s="65" t="str">
        <f ca="1">IF(AND('Administrativo '!$Y$10="Media",'Administrativo '!$AA$10="Leve"),CONCATENATE("R1C",'Administrativo '!$O$10),"")</f>
        <v/>
      </c>
      <c r="K26" s="66" t="str">
        <f ca="1">IF(AND('Administrativo '!$Y$11="Media",'Administrativo '!$AA$11="Leve"),CONCATENATE("R1C",'Administrativo '!$O$11),"")</f>
        <v/>
      </c>
      <c r="L26" s="66" t="e">
        <f>IF(AND('Administrativo '!#REF!="Media",'Administrativo '!#REF!="Leve"),CONCATENATE("R1C",'Administrativo '!#REF!),"")</f>
        <v>#REF!</v>
      </c>
      <c r="M26" s="66" t="e">
        <f>IF(AND('Administrativo '!#REF!="Media",'Administrativo '!#REF!="Leve"),CONCATENATE("R1C",'Administrativo '!#REF!),"")</f>
        <v>#REF!</v>
      </c>
      <c r="N26" s="66" t="e">
        <f>IF(AND('Administrativo '!#REF!="Media",'Administrativo '!#REF!="Leve"),CONCATENATE("R1C",'Administrativo '!#REF!),"")</f>
        <v>#REF!</v>
      </c>
      <c r="O26" s="67" t="e">
        <f>IF(AND('Administrativo '!#REF!="Media",'Administrativo '!#REF!="Leve"),CONCATENATE("R1C",'Administrativo '!#REF!),"")</f>
        <v>#REF!</v>
      </c>
      <c r="P26" s="65" t="str">
        <f ca="1">IF(AND('Administrativo '!$Y$10="Media",'Administrativo '!$AA$10="Menor"),CONCATENATE("R1C",'Administrativo '!$O$10),"")</f>
        <v/>
      </c>
      <c r="Q26" s="66" t="str">
        <f ca="1">IF(AND('Administrativo '!$Y$11="Media",'Administrativo '!$AA$11="Menor"),CONCATENATE("R1C",'Administrativo '!$O$11),"")</f>
        <v/>
      </c>
      <c r="R26" s="66" t="e">
        <f>IF(AND('Administrativo '!#REF!="Media",'Administrativo '!#REF!="Menor"),CONCATENATE("R1C",'Administrativo '!#REF!),"")</f>
        <v>#REF!</v>
      </c>
      <c r="S26" s="66" t="e">
        <f>IF(AND('Administrativo '!#REF!="Media",'Administrativo '!#REF!="Menor"),CONCATENATE("R1C",'Administrativo '!#REF!),"")</f>
        <v>#REF!</v>
      </c>
      <c r="T26" s="66" t="e">
        <f>IF(AND('Administrativo '!#REF!="Media",'Administrativo '!#REF!="Menor"),CONCATENATE("R1C",'Administrativo '!#REF!),"")</f>
        <v>#REF!</v>
      </c>
      <c r="U26" s="67" t="e">
        <f>IF(AND('Administrativo '!#REF!="Media",'Administrativo '!#REF!="Menor"),CONCATENATE("R1C",'Administrativo '!#REF!),"")</f>
        <v>#REF!</v>
      </c>
      <c r="V26" s="65" t="str">
        <f ca="1">IF(AND('Administrativo '!$Y$10="Media",'Administrativo '!$AA$10="Moderado"),CONCATENATE("R1C",'Administrativo '!$O$10),"")</f>
        <v/>
      </c>
      <c r="W26" s="66" t="str">
        <f ca="1">IF(AND('Administrativo '!$Y$11="Media",'Administrativo '!$AA$11="Moderado"),CONCATENATE("R1C",'Administrativo '!$O$11),"")</f>
        <v/>
      </c>
      <c r="X26" s="66" t="e">
        <f>IF(AND('Administrativo '!#REF!="Media",'Administrativo '!#REF!="Moderado"),CONCATENATE("R1C",'Administrativo '!#REF!),"")</f>
        <v>#REF!</v>
      </c>
      <c r="Y26" s="66" t="e">
        <f>IF(AND('Administrativo '!#REF!="Media",'Administrativo '!#REF!="Moderado"),CONCATENATE("R1C",'Administrativo '!#REF!),"")</f>
        <v>#REF!</v>
      </c>
      <c r="Z26" s="66" t="e">
        <f>IF(AND('Administrativo '!#REF!="Media",'Administrativo '!#REF!="Moderado"),CONCATENATE("R1C",'Administrativo '!#REF!),"")</f>
        <v>#REF!</v>
      </c>
      <c r="AA26" s="67" t="e">
        <f>IF(AND('Administrativo '!#REF!="Media",'Administrativo '!#REF!="Moderado"),CONCATENATE("R1C",'Administrativo '!#REF!),"")</f>
        <v>#REF!</v>
      </c>
      <c r="AB26" s="47" t="str">
        <f ca="1">IF(AND('Administrativo '!$Y$10="Media",'Administrativo '!$AA$10="Mayor"),CONCATENATE("R1C",'Administrativo '!$O$10),"")</f>
        <v/>
      </c>
      <c r="AC26" s="48" t="str">
        <f ca="1">IF(AND('Administrativo '!$Y$11="Media",'Administrativo '!$AA$11="Mayor"),CONCATENATE("R1C",'Administrativo '!$O$11),"")</f>
        <v/>
      </c>
      <c r="AD26" s="48" t="e">
        <f>IF(AND('Administrativo '!#REF!="Media",'Administrativo '!#REF!="Mayor"),CONCATENATE("R1C",'Administrativo '!#REF!),"")</f>
        <v>#REF!</v>
      </c>
      <c r="AE26" s="48" t="e">
        <f>IF(AND('Administrativo '!#REF!="Media",'Administrativo '!#REF!="Mayor"),CONCATENATE("R1C",'Administrativo '!#REF!),"")</f>
        <v>#REF!</v>
      </c>
      <c r="AF26" s="48" t="e">
        <f>IF(AND('Administrativo '!#REF!="Media",'Administrativo '!#REF!="Mayor"),CONCATENATE("R1C",'Administrativo '!#REF!),"")</f>
        <v>#REF!</v>
      </c>
      <c r="AG26" s="49" t="e">
        <f>IF(AND('Administrativo '!#REF!="Media",'Administrativo '!#REF!="Mayor"),CONCATENATE("R1C",'Administrativo '!#REF!),"")</f>
        <v>#REF!</v>
      </c>
      <c r="AH26" s="50" t="str">
        <f ca="1">IF(AND('Administrativo '!$Y$10="Media",'Administrativo '!$AA$10="Catastrófico"),CONCATENATE("R1C",'Administrativo '!$O$10),"")</f>
        <v/>
      </c>
      <c r="AI26" s="51" t="str">
        <f ca="1">IF(AND('Administrativo '!$Y$11="Media",'Administrativo '!$AA$11="Catastrófico"),CONCATENATE("R1C",'Administrativo '!$O$11),"")</f>
        <v/>
      </c>
      <c r="AJ26" s="51" t="e">
        <f>IF(AND('Administrativo '!#REF!="Media",'Administrativo '!#REF!="Catastrófico"),CONCATENATE("R1C",'Administrativo '!#REF!),"")</f>
        <v>#REF!</v>
      </c>
      <c r="AK26" s="51" t="e">
        <f>IF(AND('Administrativo '!#REF!="Media",'Administrativo '!#REF!="Catastrófico"),CONCATENATE("R1C",'Administrativo '!#REF!),"")</f>
        <v>#REF!</v>
      </c>
      <c r="AL26" s="51" t="e">
        <f>IF(AND('Administrativo '!#REF!="Media",'Administrativo '!#REF!="Catastrófico"),CONCATENATE("R1C",'Administrativo '!#REF!),"")</f>
        <v>#REF!</v>
      </c>
      <c r="AM26" s="52" t="e">
        <f>IF(AND('Administrativo '!#REF!="Media",'Administrativo '!#REF!="Catastrófico"),CONCATENATE("R1C",'Administrativo '!#REF!),"")</f>
        <v>#REF!</v>
      </c>
      <c r="AN26" s="84"/>
      <c r="AO26" s="439" t="s">
        <v>120</v>
      </c>
      <c r="AP26" s="440"/>
      <c r="AQ26" s="440"/>
      <c r="AR26" s="440"/>
      <c r="AS26" s="440"/>
      <c r="AT26" s="441"/>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361"/>
      <c r="C27" s="361"/>
      <c r="D27" s="362"/>
      <c r="E27" s="418"/>
      <c r="F27" s="403"/>
      <c r="G27" s="403"/>
      <c r="H27" s="403"/>
      <c r="I27" s="404"/>
      <c r="J27" s="68" t="e">
        <f>IF(AND('Administrativo '!#REF!="Media",'Administrativo '!#REF!="Leve"),CONCATENATE("R2C",'Administrativo '!#REF!),"")</f>
        <v>#REF!</v>
      </c>
      <c r="K27" s="69" t="e">
        <f>IF(AND('Administrativo '!#REF!="Media",'Administrativo '!#REF!="Leve"),CONCATENATE("R2C",'Administrativo '!#REF!),"")</f>
        <v>#REF!</v>
      </c>
      <c r="L27" s="69" t="e">
        <f>IF(AND('Administrativo '!#REF!="Media",'Administrativo '!#REF!="Leve"),CONCATENATE("R2C",'Administrativo '!#REF!),"")</f>
        <v>#REF!</v>
      </c>
      <c r="M27" s="69" t="e">
        <f>IF(AND('Administrativo '!#REF!="Media",'Administrativo '!#REF!="Leve"),CONCATENATE("R2C",'Administrativo '!#REF!),"")</f>
        <v>#REF!</v>
      </c>
      <c r="N27" s="69" t="e">
        <f>IF(AND('Administrativo '!#REF!="Media",'Administrativo '!#REF!="Leve"),CONCATENATE("R2C",'Administrativo '!#REF!),"")</f>
        <v>#REF!</v>
      </c>
      <c r="O27" s="70" t="e">
        <f>IF(AND('Administrativo '!#REF!="Media",'Administrativo '!#REF!="Leve"),CONCATENATE("R2C",'Administrativo '!#REF!),"")</f>
        <v>#REF!</v>
      </c>
      <c r="P27" s="68" t="e">
        <f>IF(AND('Administrativo '!#REF!="Media",'Administrativo '!#REF!="Menor"),CONCATENATE("R2C",'Administrativo '!#REF!),"")</f>
        <v>#REF!</v>
      </c>
      <c r="Q27" s="69" t="e">
        <f>IF(AND('Administrativo '!#REF!="Media",'Administrativo '!#REF!="Menor"),CONCATENATE("R2C",'Administrativo '!#REF!),"")</f>
        <v>#REF!</v>
      </c>
      <c r="R27" s="69" t="e">
        <f>IF(AND('Administrativo '!#REF!="Media",'Administrativo '!#REF!="Menor"),CONCATENATE("R2C",'Administrativo '!#REF!),"")</f>
        <v>#REF!</v>
      </c>
      <c r="S27" s="69" t="e">
        <f>IF(AND('Administrativo '!#REF!="Media",'Administrativo '!#REF!="Menor"),CONCATENATE("R2C",'Administrativo '!#REF!),"")</f>
        <v>#REF!</v>
      </c>
      <c r="T27" s="69" t="e">
        <f>IF(AND('Administrativo '!#REF!="Media",'Administrativo '!#REF!="Menor"),CONCATENATE("R2C",'Administrativo '!#REF!),"")</f>
        <v>#REF!</v>
      </c>
      <c r="U27" s="70" t="e">
        <f>IF(AND('Administrativo '!#REF!="Media",'Administrativo '!#REF!="Menor"),CONCATENATE("R2C",'Administrativo '!#REF!),"")</f>
        <v>#REF!</v>
      </c>
      <c r="V27" s="68" t="e">
        <f>IF(AND('Administrativo '!#REF!="Media",'Administrativo '!#REF!="Moderado"),CONCATENATE("R2C",'Administrativo '!#REF!),"")</f>
        <v>#REF!</v>
      </c>
      <c r="W27" s="69" t="e">
        <f>IF(AND('Administrativo '!#REF!="Media",'Administrativo '!#REF!="Moderado"),CONCATENATE("R2C",'Administrativo '!#REF!),"")</f>
        <v>#REF!</v>
      </c>
      <c r="X27" s="69" t="e">
        <f>IF(AND('Administrativo '!#REF!="Media",'Administrativo '!#REF!="Moderado"),CONCATENATE("R2C",'Administrativo '!#REF!),"")</f>
        <v>#REF!</v>
      </c>
      <c r="Y27" s="69" t="e">
        <f>IF(AND('Administrativo '!#REF!="Media",'Administrativo '!#REF!="Moderado"),CONCATENATE("R2C",'Administrativo '!#REF!),"")</f>
        <v>#REF!</v>
      </c>
      <c r="Z27" s="69" t="e">
        <f>IF(AND('Administrativo '!#REF!="Media",'Administrativo '!#REF!="Moderado"),CONCATENATE("R2C",'Administrativo '!#REF!),"")</f>
        <v>#REF!</v>
      </c>
      <c r="AA27" s="70" t="e">
        <f>IF(AND('Administrativo '!#REF!="Media",'Administrativo '!#REF!="Moderado"),CONCATENATE("R2C",'Administrativo '!#REF!),"")</f>
        <v>#REF!</v>
      </c>
      <c r="AB27" s="53" t="e">
        <f>IF(AND('Administrativo '!#REF!="Media",'Administrativo '!#REF!="Mayor"),CONCATENATE("R2C",'Administrativo '!#REF!),"")</f>
        <v>#REF!</v>
      </c>
      <c r="AC27" s="54" t="e">
        <f>IF(AND('Administrativo '!#REF!="Media",'Administrativo '!#REF!="Mayor"),CONCATENATE("R2C",'Administrativo '!#REF!),"")</f>
        <v>#REF!</v>
      </c>
      <c r="AD27" s="54" t="e">
        <f>IF(AND('Administrativo '!#REF!="Media",'Administrativo '!#REF!="Mayor"),CONCATENATE("R2C",'Administrativo '!#REF!),"")</f>
        <v>#REF!</v>
      </c>
      <c r="AE27" s="54" t="e">
        <f>IF(AND('Administrativo '!#REF!="Media",'Administrativo '!#REF!="Mayor"),CONCATENATE("R2C",'Administrativo '!#REF!),"")</f>
        <v>#REF!</v>
      </c>
      <c r="AF27" s="54" t="e">
        <f>IF(AND('Administrativo '!#REF!="Media",'Administrativo '!#REF!="Mayor"),CONCATENATE("R2C",'Administrativo '!#REF!),"")</f>
        <v>#REF!</v>
      </c>
      <c r="AG27" s="55" t="e">
        <f>IF(AND('Administrativo '!#REF!="Media",'Administrativo '!#REF!="Mayor"),CONCATENATE("R2C",'Administrativo '!#REF!),"")</f>
        <v>#REF!</v>
      </c>
      <c r="AH27" s="56" t="e">
        <f>IF(AND('Administrativo '!#REF!="Media",'Administrativo '!#REF!="Catastrófico"),CONCATENATE("R2C",'Administrativo '!#REF!),"")</f>
        <v>#REF!</v>
      </c>
      <c r="AI27" s="57" t="e">
        <f>IF(AND('Administrativo '!#REF!="Media",'Administrativo '!#REF!="Catastrófico"),CONCATENATE("R2C",'Administrativo '!#REF!),"")</f>
        <v>#REF!</v>
      </c>
      <c r="AJ27" s="57" t="e">
        <f>IF(AND('Administrativo '!#REF!="Media",'Administrativo '!#REF!="Catastrófico"),CONCATENATE("R2C",'Administrativo '!#REF!),"")</f>
        <v>#REF!</v>
      </c>
      <c r="AK27" s="57" t="e">
        <f>IF(AND('Administrativo '!#REF!="Media",'Administrativo '!#REF!="Catastrófico"),CONCATENATE("R2C",'Administrativo '!#REF!),"")</f>
        <v>#REF!</v>
      </c>
      <c r="AL27" s="57" t="e">
        <f>IF(AND('Administrativo '!#REF!="Media",'Administrativo '!#REF!="Catastrófico"),CONCATENATE("R2C",'Administrativo '!#REF!),"")</f>
        <v>#REF!</v>
      </c>
      <c r="AM27" s="58" t="e">
        <f>IF(AND('Administrativo '!#REF!="Media",'Administrativo '!#REF!="Catastrófico"),CONCATENATE("R2C",'Administrativo '!#REF!),"")</f>
        <v>#REF!</v>
      </c>
      <c r="AN27" s="84"/>
      <c r="AO27" s="442"/>
      <c r="AP27" s="443"/>
      <c r="AQ27" s="443"/>
      <c r="AR27" s="443"/>
      <c r="AS27" s="443"/>
      <c r="AT27" s="44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361"/>
      <c r="C28" s="361"/>
      <c r="D28" s="362"/>
      <c r="E28" s="402"/>
      <c r="F28" s="403"/>
      <c r="G28" s="403"/>
      <c r="H28" s="403"/>
      <c r="I28" s="404"/>
      <c r="J28" s="68" t="e">
        <f>IF(AND('Administrativo '!#REF!="Media",'Administrativo '!#REF!="Leve"),CONCATENATE("R3C",'Administrativo '!#REF!),"")</f>
        <v>#REF!</v>
      </c>
      <c r="K28" s="69" t="e">
        <f>IF(AND('Administrativo '!#REF!="Media",'Administrativo '!#REF!="Leve"),CONCATENATE("R3C",'Administrativo '!#REF!),"")</f>
        <v>#REF!</v>
      </c>
      <c r="L28" s="69" t="e">
        <f>IF(AND('Administrativo '!#REF!="Media",'Administrativo '!#REF!="Leve"),CONCATENATE("R3C",'Administrativo '!#REF!),"")</f>
        <v>#REF!</v>
      </c>
      <c r="M28" s="69" t="e">
        <f>IF(AND('Administrativo '!#REF!="Media",'Administrativo '!#REF!="Leve"),CONCATENATE("R3C",'Administrativo '!#REF!),"")</f>
        <v>#REF!</v>
      </c>
      <c r="N28" s="69" t="e">
        <f>IF(AND('Administrativo '!#REF!="Media",'Administrativo '!#REF!="Leve"),CONCATENATE("R3C",'Administrativo '!#REF!),"")</f>
        <v>#REF!</v>
      </c>
      <c r="O28" s="70" t="e">
        <f>IF(AND('Administrativo '!#REF!="Media",'Administrativo '!#REF!="Leve"),CONCATENATE("R3C",'Administrativo '!#REF!),"")</f>
        <v>#REF!</v>
      </c>
      <c r="P28" s="68" t="e">
        <f>IF(AND('Administrativo '!#REF!="Media",'Administrativo '!#REF!="Menor"),CONCATENATE("R3C",'Administrativo '!#REF!),"")</f>
        <v>#REF!</v>
      </c>
      <c r="Q28" s="69" t="e">
        <f>IF(AND('Administrativo '!#REF!="Media",'Administrativo '!#REF!="Menor"),CONCATENATE("R3C",'Administrativo '!#REF!),"")</f>
        <v>#REF!</v>
      </c>
      <c r="R28" s="69" t="e">
        <f>IF(AND('Administrativo '!#REF!="Media",'Administrativo '!#REF!="Menor"),CONCATENATE("R3C",'Administrativo '!#REF!),"")</f>
        <v>#REF!</v>
      </c>
      <c r="S28" s="69" t="e">
        <f>IF(AND('Administrativo '!#REF!="Media",'Administrativo '!#REF!="Menor"),CONCATENATE("R3C",'Administrativo '!#REF!),"")</f>
        <v>#REF!</v>
      </c>
      <c r="T28" s="69" t="e">
        <f>IF(AND('Administrativo '!#REF!="Media",'Administrativo '!#REF!="Menor"),CONCATENATE("R3C",'Administrativo '!#REF!),"")</f>
        <v>#REF!</v>
      </c>
      <c r="U28" s="70" t="e">
        <f>IF(AND('Administrativo '!#REF!="Media",'Administrativo '!#REF!="Menor"),CONCATENATE("R3C",'Administrativo '!#REF!),"")</f>
        <v>#REF!</v>
      </c>
      <c r="V28" s="68" t="e">
        <f>IF(AND('Administrativo '!#REF!="Media",'Administrativo '!#REF!="Moderado"),CONCATENATE("R3C",'Administrativo '!#REF!),"")</f>
        <v>#REF!</v>
      </c>
      <c r="W28" s="69" t="e">
        <f>IF(AND('Administrativo '!#REF!="Media",'Administrativo '!#REF!="Moderado"),CONCATENATE("R3C",'Administrativo '!#REF!),"")</f>
        <v>#REF!</v>
      </c>
      <c r="X28" s="69" t="e">
        <f>IF(AND('Administrativo '!#REF!="Media",'Administrativo '!#REF!="Moderado"),CONCATENATE("R3C",'Administrativo '!#REF!),"")</f>
        <v>#REF!</v>
      </c>
      <c r="Y28" s="69" t="e">
        <f>IF(AND('Administrativo '!#REF!="Media",'Administrativo '!#REF!="Moderado"),CONCATENATE("R3C",'Administrativo '!#REF!),"")</f>
        <v>#REF!</v>
      </c>
      <c r="Z28" s="69" t="e">
        <f>IF(AND('Administrativo '!#REF!="Media",'Administrativo '!#REF!="Moderado"),CONCATENATE("R3C",'Administrativo '!#REF!),"")</f>
        <v>#REF!</v>
      </c>
      <c r="AA28" s="70" t="e">
        <f>IF(AND('Administrativo '!#REF!="Media",'Administrativo '!#REF!="Moderado"),CONCATENATE("R3C",'Administrativo '!#REF!),"")</f>
        <v>#REF!</v>
      </c>
      <c r="AB28" s="53" t="e">
        <f>IF(AND('Administrativo '!#REF!="Media",'Administrativo '!#REF!="Mayor"),CONCATENATE("R3C",'Administrativo '!#REF!),"")</f>
        <v>#REF!</v>
      </c>
      <c r="AC28" s="54" t="e">
        <f>IF(AND('Administrativo '!#REF!="Media",'Administrativo '!#REF!="Mayor"),CONCATENATE("R3C",'Administrativo '!#REF!),"")</f>
        <v>#REF!</v>
      </c>
      <c r="AD28" s="54" t="e">
        <f>IF(AND('Administrativo '!#REF!="Media",'Administrativo '!#REF!="Mayor"),CONCATENATE("R3C",'Administrativo '!#REF!),"")</f>
        <v>#REF!</v>
      </c>
      <c r="AE28" s="54" t="e">
        <f>IF(AND('Administrativo '!#REF!="Media",'Administrativo '!#REF!="Mayor"),CONCATENATE("R3C",'Administrativo '!#REF!),"")</f>
        <v>#REF!</v>
      </c>
      <c r="AF28" s="54" t="e">
        <f>IF(AND('Administrativo '!#REF!="Media",'Administrativo '!#REF!="Mayor"),CONCATENATE("R3C",'Administrativo '!#REF!),"")</f>
        <v>#REF!</v>
      </c>
      <c r="AG28" s="55" t="e">
        <f>IF(AND('Administrativo '!#REF!="Media",'Administrativo '!#REF!="Mayor"),CONCATENATE("R3C",'Administrativo '!#REF!),"")</f>
        <v>#REF!</v>
      </c>
      <c r="AH28" s="56" t="e">
        <f>IF(AND('Administrativo '!#REF!="Media",'Administrativo '!#REF!="Catastrófico"),CONCATENATE("R3C",'Administrativo '!#REF!),"")</f>
        <v>#REF!</v>
      </c>
      <c r="AI28" s="57" t="e">
        <f>IF(AND('Administrativo '!#REF!="Media",'Administrativo '!#REF!="Catastrófico"),CONCATENATE("R3C",'Administrativo '!#REF!),"")</f>
        <v>#REF!</v>
      </c>
      <c r="AJ28" s="57" t="e">
        <f>IF(AND('Administrativo '!#REF!="Media",'Administrativo '!#REF!="Catastrófico"),CONCATENATE("R3C",'Administrativo '!#REF!),"")</f>
        <v>#REF!</v>
      </c>
      <c r="AK28" s="57" t="e">
        <f>IF(AND('Administrativo '!#REF!="Media",'Administrativo '!#REF!="Catastrófico"),CONCATENATE("R3C",'Administrativo '!#REF!),"")</f>
        <v>#REF!</v>
      </c>
      <c r="AL28" s="57" t="e">
        <f>IF(AND('Administrativo '!#REF!="Media",'Administrativo '!#REF!="Catastrófico"),CONCATENATE("R3C",'Administrativo '!#REF!),"")</f>
        <v>#REF!</v>
      </c>
      <c r="AM28" s="58" t="e">
        <f>IF(AND('Administrativo '!#REF!="Media",'Administrativo '!#REF!="Catastrófico"),CONCATENATE("R3C",'Administrativo '!#REF!),"")</f>
        <v>#REF!</v>
      </c>
      <c r="AN28" s="84"/>
      <c r="AO28" s="442"/>
      <c r="AP28" s="443"/>
      <c r="AQ28" s="443"/>
      <c r="AR28" s="443"/>
      <c r="AS28" s="443"/>
      <c r="AT28" s="44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361"/>
      <c r="C29" s="361"/>
      <c r="D29" s="362"/>
      <c r="E29" s="402"/>
      <c r="F29" s="403"/>
      <c r="G29" s="403"/>
      <c r="H29" s="403"/>
      <c r="I29" s="404"/>
      <c r="J29" s="68" t="e">
        <f>IF(AND('Administrativo '!#REF!="Media",'Administrativo '!#REF!="Leve"),CONCATENATE("R4C",'Administrativo '!#REF!),"")</f>
        <v>#REF!</v>
      </c>
      <c r="K29" s="69" t="e">
        <f>IF(AND('Administrativo '!#REF!="Media",'Administrativo '!#REF!="Leve"),CONCATENATE("R4C",'Administrativo '!#REF!),"")</f>
        <v>#REF!</v>
      </c>
      <c r="L29" s="69" t="e">
        <f>IF(AND('Administrativo '!#REF!="Media",'Administrativo '!#REF!="Leve"),CONCATENATE("R4C",'Administrativo '!#REF!),"")</f>
        <v>#REF!</v>
      </c>
      <c r="M29" s="69" t="e">
        <f>IF(AND('Administrativo '!#REF!="Media",'Administrativo '!#REF!="Leve"),CONCATENATE("R4C",'Administrativo '!#REF!),"")</f>
        <v>#REF!</v>
      </c>
      <c r="N29" s="69" t="e">
        <f>IF(AND('Administrativo '!#REF!="Media",'Administrativo '!#REF!="Leve"),CONCATENATE("R4C",'Administrativo '!#REF!),"")</f>
        <v>#REF!</v>
      </c>
      <c r="O29" s="70" t="e">
        <f>IF(AND('Administrativo '!#REF!="Media",'Administrativo '!#REF!="Leve"),CONCATENATE("R4C",'Administrativo '!#REF!),"")</f>
        <v>#REF!</v>
      </c>
      <c r="P29" s="68" t="e">
        <f>IF(AND('Administrativo '!#REF!="Media",'Administrativo '!#REF!="Menor"),CONCATENATE("R4C",'Administrativo '!#REF!),"")</f>
        <v>#REF!</v>
      </c>
      <c r="Q29" s="69" t="e">
        <f>IF(AND('Administrativo '!#REF!="Media",'Administrativo '!#REF!="Menor"),CONCATENATE("R4C",'Administrativo '!#REF!),"")</f>
        <v>#REF!</v>
      </c>
      <c r="R29" s="69" t="e">
        <f>IF(AND('Administrativo '!#REF!="Media",'Administrativo '!#REF!="Menor"),CONCATENATE("R4C",'Administrativo '!#REF!),"")</f>
        <v>#REF!</v>
      </c>
      <c r="S29" s="69" t="e">
        <f>IF(AND('Administrativo '!#REF!="Media",'Administrativo '!#REF!="Menor"),CONCATENATE("R4C",'Administrativo '!#REF!),"")</f>
        <v>#REF!</v>
      </c>
      <c r="T29" s="69" t="e">
        <f>IF(AND('Administrativo '!#REF!="Media",'Administrativo '!#REF!="Menor"),CONCATENATE("R4C",'Administrativo '!#REF!),"")</f>
        <v>#REF!</v>
      </c>
      <c r="U29" s="70" t="e">
        <f>IF(AND('Administrativo '!#REF!="Media",'Administrativo '!#REF!="Menor"),CONCATENATE("R4C",'Administrativo '!#REF!),"")</f>
        <v>#REF!</v>
      </c>
      <c r="V29" s="68" t="e">
        <f>IF(AND('Administrativo '!#REF!="Media",'Administrativo '!#REF!="Moderado"),CONCATENATE("R4C",'Administrativo '!#REF!),"")</f>
        <v>#REF!</v>
      </c>
      <c r="W29" s="69" t="e">
        <f>IF(AND('Administrativo '!#REF!="Media",'Administrativo '!#REF!="Moderado"),CONCATENATE("R4C",'Administrativo '!#REF!),"")</f>
        <v>#REF!</v>
      </c>
      <c r="X29" s="69" t="e">
        <f>IF(AND('Administrativo '!#REF!="Media",'Administrativo '!#REF!="Moderado"),CONCATENATE("R4C",'Administrativo '!#REF!),"")</f>
        <v>#REF!</v>
      </c>
      <c r="Y29" s="69" t="e">
        <f>IF(AND('Administrativo '!#REF!="Media",'Administrativo '!#REF!="Moderado"),CONCATENATE("R4C",'Administrativo '!#REF!),"")</f>
        <v>#REF!</v>
      </c>
      <c r="Z29" s="69" t="e">
        <f>IF(AND('Administrativo '!#REF!="Media",'Administrativo '!#REF!="Moderado"),CONCATENATE("R4C",'Administrativo '!#REF!),"")</f>
        <v>#REF!</v>
      </c>
      <c r="AA29" s="70" t="e">
        <f>IF(AND('Administrativo '!#REF!="Media",'Administrativo '!#REF!="Moderado"),CONCATENATE("R4C",'Administrativo '!#REF!),"")</f>
        <v>#REF!</v>
      </c>
      <c r="AB29" s="53" t="e">
        <f>IF(AND('Administrativo '!#REF!="Media",'Administrativo '!#REF!="Mayor"),CONCATENATE("R4C",'Administrativo '!#REF!),"")</f>
        <v>#REF!</v>
      </c>
      <c r="AC29" s="54" t="e">
        <f>IF(AND('Administrativo '!#REF!="Media",'Administrativo '!#REF!="Mayor"),CONCATENATE("R4C",'Administrativo '!#REF!),"")</f>
        <v>#REF!</v>
      </c>
      <c r="AD29" s="54" t="e">
        <f>IF(AND('Administrativo '!#REF!="Media",'Administrativo '!#REF!="Mayor"),CONCATENATE("R4C",'Administrativo '!#REF!),"")</f>
        <v>#REF!</v>
      </c>
      <c r="AE29" s="54" t="e">
        <f>IF(AND('Administrativo '!#REF!="Media",'Administrativo '!#REF!="Mayor"),CONCATENATE("R4C",'Administrativo '!#REF!),"")</f>
        <v>#REF!</v>
      </c>
      <c r="AF29" s="54" t="e">
        <f>IF(AND('Administrativo '!#REF!="Media",'Administrativo '!#REF!="Mayor"),CONCATENATE("R4C",'Administrativo '!#REF!),"")</f>
        <v>#REF!</v>
      </c>
      <c r="AG29" s="55" t="e">
        <f>IF(AND('Administrativo '!#REF!="Media",'Administrativo '!#REF!="Mayor"),CONCATENATE("R4C",'Administrativo '!#REF!),"")</f>
        <v>#REF!</v>
      </c>
      <c r="AH29" s="56" t="e">
        <f>IF(AND('Administrativo '!#REF!="Media",'Administrativo '!#REF!="Catastrófico"),CONCATENATE("R4C",'Administrativo '!#REF!),"")</f>
        <v>#REF!</v>
      </c>
      <c r="AI29" s="57" t="e">
        <f>IF(AND('Administrativo '!#REF!="Media",'Administrativo '!#REF!="Catastrófico"),CONCATENATE("R4C",'Administrativo '!#REF!),"")</f>
        <v>#REF!</v>
      </c>
      <c r="AJ29" s="57" t="e">
        <f>IF(AND('Administrativo '!#REF!="Media",'Administrativo '!#REF!="Catastrófico"),CONCATENATE("R4C",'Administrativo '!#REF!),"")</f>
        <v>#REF!</v>
      </c>
      <c r="AK29" s="57" t="e">
        <f>IF(AND('Administrativo '!#REF!="Media",'Administrativo '!#REF!="Catastrófico"),CONCATENATE("R4C",'Administrativo '!#REF!),"")</f>
        <v>#REF!</v>
      </c>
      <c r="AL29" s="57" t="e">
        <f>IF(AND('Administrativo '!#REF!="Media",'Administrativo '!#REF!="Catastrófico"),CONCATENATE("R4C",'Administrativo '!#REF!),"")</f>
        <v>#REF!</v>
      </c>
      <c r="AM29" s="58" t="e">
        <f>IF(AND('Administrativo '!#REF!="Media",'Administrativo '!#REF!="Catastrófico"),CONCATENATE("R4C",'Administrativo '!#REF!),"")</f>
        <v>#REF!</v>
      </c>
      <c r="AN29" s="84"/>
      <c r="AO29" s="442"/>
      <c r="AP29" s="443"/>
      <c r="AQ29" s="443"/>
      <c r="AR29" s="443"/>
      <c r="AS29" s="443"/>
      <c r="AT29" s="44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361"/>
      <c r="C30" s="361"/>
      <c r="D30" s="362"/>
      <c r="E30" s="402"/>
      <c r="F30" s="403"/>
      <c r="G30" s="403"/>
      <c r="H30" s="403"/>
      <c r="I30" s="404"/>
      <c r="J30" s="68" t="e">
        <f>IF(AND('Administrativo '!#REF!="Media",'Administrativo '!#REF!="Leve"),CONCATENATE("R5C",'Administrativo '!#REF!),"")</f>
        <v>#REF!</v>
      </c>
      <c r="K30" s="69" t="e">
        <f>IF(AND('Administrativo '!#REF!="Media",'Administrativo '!#REF!="Leve"),CONCATENATE("R5C",'Administrativo '!#REF!),"")</f>
        <v>#REF!</v>
      </c>
      <c r="L30" s="69" t="e">
        <f>IF(AND('Administrativo '!#REF!="Media",'Administrativo '!#REF!="Leve"),CONCATENATE("R5C",'Administrativo '!#REF!),"")</f>
        <v>#REF!</v>
      </c>
      <c r="M30" s="69" t="e">
        <f>IF(AND('Administrativo '!#REF!="Media",'Administrativo '!#REF!="Leve"),CONCATENATE("R5C",'Administrativo '!#REF!),"")</f>
        <v>#REF!</v>
      </c>
      <c r="N30" s="69" t="e">
        <f>IF(AND('Administrativo '!#REF!="Media",'Administrativo '!#REF!="Leve"),CONCATENATE("R5C",'Administrativo '!#REF!),"")</f>
        <v>#REF!</v>
      </c>
      <c r="O30" s="70" t="e">
        <f>IF(AND('Administrativo '!#REF!="Media",'Administrativo '!#REF!="Leve"),CONCATENATE("R5C",'Administrativo '!#REF!),"")</f>
        <v>#REF!</v>
      </c>
      <c r="P30" s="68" t="e">
        <f>IF(AND('Administrativo '!#REF!="Media",'Administrativo '!#REF!="Menor"),CONCATENATE("R5C",'Administrativo '!#REF!),"")</f>
        <v>#REF!</v>
      </c>
      <c r="Q30" s="69" t="e">
        <f>IF(AND('Administrativo '!#REF!="Media",'Administrativo '!#REF!="Menor"),CONCATENATE("R5C",'Administrativo '!#REF!),"")</f>
        <v>#REF!</v>
      </c>
      <c r="R30" s="69" t="e">
        <f>IF(AND('Administrativo '!#REF!="Media",'Administrativo '!#REF!="Menor"),CONCATENATE("R5C",'Administrativo '!#REF!),"")</f>
        <v>#REF!</v>
      </c>
      <c r="S30" s="69" t="e">
        <f>IF(AND('Administrativo '!#REF!="Media",'Administrativo '!#REF!="Menor"),CONCATENATE("R5C",'Administrativo '!#REF!),"")</f>
        <v>#REF!</v>
      </c>
      <c r="T30" s="69" t="e">
        <f>IF(AND('Administrativo '!#REF!="Media",'Administrativo '!#REF!="Menor"),CONCATENATE("R5C",'Administrativo '!#REF!),"")</f>
        <v>#REF!</v>
      </c>
      <c r="U30" s="70" t="e">
        <f>IF(AND('Administrativo '!#REF!="Media",'Administrativo '!#REF!="Menor"),CONCATENATE("R5C",'Administrativo '!#REF!),"")</f>
        <v>#REF!</v>
      </c>
      <c r="V30" s="68" t="e">
        <f>IF(AND('Administrativo '!#REF!="Media",'Administrativo '!#REF!="Moderado"),CONCATENATE("R5C",'Administrativo '!#REF!),"")</f>
        <v>#REF!</v>
      </c>
      <c r="W30" s="69" t="e">
        <f>IF(AND('Administrativo '!#REF!="Media",'Administrativo '!#REF!="Moderado"),CONCATENATE("R5C",'Administrativo '!#REF!),"")</f>
        <v>#REF!</v>
      </c>
      <c r="X30" s="69" t="e">
        <f>IF(AND('Administrativo '!#REF!="Media",'Administrativo '!#REF!="Moderado"),CONCATENATE("R5C",'Administrativo '!#REF!),"")</f>
        <v>#REF!</v>
      </c>
      <c r="Y30" s="69" t="e">
        <f>IF(AND('Administrativo '!#REF!="Media",'Administrativo '!#REF!="Moderado"),CONCATENATE("R5C",'Administrativo '!#REF!),"")</f>
        <v>#REF!</v>
      </c>
      <c r="Z30" s="69" t="e">
        <f>IF(AND('Administrativo '!#REF!="Media",'Administrativo '!#REF!="Moderado"),CONCATENATE("R5C",'Administrativo '!#REF!),"")</f>
        <v>#REF!</v>
      </c>
      <c r="AA30" s="70" t="e">
        <f>IF(AND('Administrativo '!#REF!="Media",'Administrativo '!#REF!="Moderado"),CONCATENATE("R5C",'Administrativo '!#REF!),"")</f>
        <v>#REF!</v>
      </c>
      <c r="AB30" s="53" t="e">
        <f>IF(AND('Administrativo '!#REF!="Media",'Administrativo '!#REF!="Mayor"),CONCATENATE("R5C",'Administrativo '!#REF!),"")</f>
        <v>#REF!</v>
      </c>
      <c r="AC30" s="54" t="e">
        <f>IF(AND('Administrativo '!#REF!="Media",'Administrativo '!#REF!="Mayor"),CONCATENATE("R5C",'Administrativo '!#REF!),"")</f>
        <v>#REF!</v>
      </c>
      <c r="AD30" s="54" t="e">
        <f>IF(AND('Administrativo '!#REF!="Media",'Administrativo '!#REF!="Mayor"),CONCATENATE("R5C",'Administrativo '!#REF!),"")</f>
        <v>#REF!</v>
      </c>
      <c r="AE30" s="54" t="e">
        <f>IF(AND('Administrativo '!#REF!="Media",'Administrativo '!#REF!="Mayor"),CONCATENATE("R5C",'Administrativo '!#REF!),"")</f>
        <v>#REF!</v>
      </c>
      <c r="AF30" s="54" t="e">
        <f>IF(AND('Administrativo '!#REF!="Media",'Administrativo '!#REF!="Mayor"),CONCATENATE("R5C",'Administrativo '!#REF!),"")</f>
        <v>#REF!</v>
      </c>
      <c r="AG30" s="55" t="e">
        <f>IF(AND('Administrativo '!#REF!="Media",'Administrativo '!#REF!="Mayor"),CONCATENATE("R5C",'Administrativo '!#REF!),"")</f>
        <v>#REF!</v>
      </c>
      <c r="AH30" s="56" t="e">
        <f>IF(AND('Administrativo '!#REF!="Media",'Administrativo '!#REF!="Catastrófico"),CONCATENATE("R5C",'Administrativo '!#REF!),"")</f>
        <v>#REF!</v>
      </c>
      <c r="AI30" s="57" t="e">
        <f>IF(AND('Administrativo '!#REF!="Media",'Administrativo '!#REF!="Catastrófico"),CONCATENATE("R5C",'Administrativo '!#REF!),"")</f>
        <v>#REF!</v>
      </c>
      <c r="AJ30" s="57" t="e">
        <f>IF(AND('Administrativo '!#REF!="Media",'Administrativo '!#REF!="Catastrófico"),CONCATENATE("R5C",'Administrativo '!#REF!),"")</f>
        <v>#REF!</v>
      </c>
      <c r="AK30" s="57" t="e">
        <f>IF(AND('Administrativo '!#REF!="Media",'Administrativo '!#REF!="Catastrófico"),CONCATENATE("R5C",'Administrativo '!#REF!),"")</f>
        <v>#REF!</v>
      </c>
      <c r="AL30" s="57" t="e">
        <f>IF(AND('Administrativo '!#REF!="Media",'Administrativo '!#REF!="Catastrófico"),CONCATENATE("R5C",'Administrativo '!#REF!),"")</f>
        <v>#REF!</v>
      </c>
      <c r="AM30" s="58" t="e">
        <f>IF(AND('Administrativo '!#REF!="Media",'Administrativo '!#REF!="Catastrófico"),CONCATENATE("R5C",'Administrativo '!#REF!),"")</f>
        <v>#REF!</v>
      </c>
      <c r="AN30" s="84"/>
      <c r="AO30" s="442"/>
      <c r="AP30" s="443"/>
      <c r="AQ30" s="443"/>
      <c r="AR30" s="443"/>
      <c r="AS30" s="443"/>
      <c r="AT30" s="44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361"/>
      <c r="C31" s="361"/>
      <c r="D31" s="362"/>
      <c r="E31" s="402"/>
      <c r="F31" s="403"/>
      <c r="G31" s="403"/>
      <c r="H31" s="403"/>
      <c r="I31" s="404"/>
      <c r="J31" s="68" t="e">
        <f>IF(AND('Administrativo '!#REF!="Media",'Administrativo '!#REF!="Leve"),CONCATENATE("R6C",'Administrativo '!#REF!),"")</f>
        <v>#REF!</v>
      </c>
      <c r="K31" s="69" t="e">
        <f>IF(AND('Administrativo '!#REF!="Media",'Administrativo '!#REF!="Leve"),CONCATENATE("R6C",'Administrativo '!#REF!),"")</f>
        <v>#REF!</v>
      </c>
      <c r="L31" s="69" t="e">
        <f>IF(AND('Administrativo '!#REF!="Media",'Administrativo '!#REF!="Leve"),CONCATENATE("R6C",'Administrativo '!#REF!),"")</f>
        <v>#REF!</v>
      </c>
      <c r="M31" s="69" t="e">
        <f>IF(AND('Administrativo '!#REF!="Media",'Administrativo '!#REF!="Leve"),CONCATENATE("R6C",'Administrativo '!#REF!),"")</f>
        <v>#REF!</v>
      </c>
      <c r="N31" s="69" t="e">
        <f>IF(AND('Administrativo '!#REF!="Media",'Administrativo '!#REF!="Leve"),CONCATENATE("R6C",'Administrativo '!#REF!),"")</f>
        <v>#REF!</v>
      </c>
      <c r="O31" s="70" t="e">
        <f>IF(AND('Administrativo '!#REF!="Media",'Administrativo '!#REF!="Leve"),CONCATENATE("R6C",'Administrativo '!#REF!),"")</f>
        <v>#REF!</v>
      </c>
      <c r="P31" s="68" t="e">
        <f>IF(AND('Administrativo '!#REF!="Media",'Administrativo '!#REF!="Menor"),CONCATENATE("R6C",'Administrativo '!#REF!),"")</f>
        <v>#REF!</v>
      </c>
      <c r="Q31" s="69" t="e">
        <f>IF(AND('Administrativo '!#REF!="Media",'Administrativo '!#REF!="Menor"),CONCATENATE("R6C",'Administrativo '!#REF!),"")</f>
        <v>#REF!</v>
      </c>
      <c r="R31" s="69" t="e">
        <f>IF(AND('Administrativo '!#REF!="Media",'Administrativo '!#REF!="Menor"),CONCATENATE("R6C",'Administrativo '!#REF!),"")</f>
        <v>#REF!</v>
      </c>
      <c r="S31" s="69" t="e">
        <f>IF(AND('Administrativo '!#REF!="Media",'Administrativo '!#REF!="Menor"),CONCATENATE("R6C",'Administrativo '!#REF!),"")</f>
        <v>#REF!</v>
      </c>
      <c r="T31" s="69" t="e">
        <f>IF(AND('Administrativo '!#REF!="Media",'Administrativo '!#REF!="Menor"),CONCATENATE("R6C",'Administrativo '!#REF!),"")</f>
        <v>#REF!</v>
      </c>
      <c r="U31" s="70" t="e">
        <f>IF(AND('Administrativo '!#REF!="Media",'Administrativo '!#REF!="Menor"),CONCATENATE("R6C",'Administrativo '!#REF!),"")</f>
        <v>#REF!</v>
      </c>
      <c r="V31" s="68" t="e">
        <f>IF(AND('Administrativo '!#REF!="Media",'Administrativo '!#REF!="Moderado"),CONCATENATE("R6C",'Administrativo '!#REF!),"")</f>
        <v>#REF!</v>
      </c>
      <c r="W31" s="69" t="e">
        <f>IF(AND('Administrativo '!#REF!="Media",'Administrativo '!#REF!="Moderado"),CONCATENATE("R6C",'Administrativo '!#REF!),"")</f>
        <v>#REF!</v>
      </c>
      <c r="X31" s="69" t="e">
        <f>IF(AND('Administrativo '!#REF!="Media",'Administrativo '!#REF!="Moderado"),CONCATENATE("R6C",'Administrativo '!#REF!),"")</f>
        <v>#REF!</v>
      </c>
      <c r="Y31" s="69" t="e">
        <f>IF(AND('Administrativo '!#REF!="Media",'Administrativo '!#REF!="Moderado"),CONCATENATE("R6C",'Administrativo '!#REF!),"")</f>
        <v>#REF!</v>
      </c>
      <c r="Z31" s="69" t="e">
        <f>IF(AND('Administrativo '!#REF!="Media",'Administrativo '!#REF!="Moderado"),CONCATENATE("R6C",'Administrativo '!#REF!),"")</f>
        <v>#REF!</v>
      </c>
      <c r="AA31" s="70" t="e">
        <f>IF(AND('Administrativo '!#REF!="Media",'Administrativo '!#REF!="Moderado"),CONCATENATE("R6C",'Administrativo '!#REF!),"")</f>
        <v>#REF!</v>
      </c>
      <c r="AB31" s="53" t="e">
        <f>IF(AND('Administrativo '!#REF!="Media",'Administrativo '!#REF!="Mayor"),CONCATENATE("R6C",'Administrativo '!#REF!),"")</f>
        <v>#REF!</v>
      </c>
      <c r="AC31" s="54" t="e">
        <f>IF(AND('Administrativo '!#REF!="Media",'Administrativo '!#REF!="Mayor"),CONCATENATE("R6C",'Administrativo '!#REF!),"")</f>
        <v>#REF!</v>
      </c>
      <c r="AD31" s="54" t="e">
        <f>IF(AND('Administrativo '!#REF!="Media",'Administrativo '!#REF!="Mayor"),CONCATENATE("R6C",'Administrativo '!#REF!),"")</f>
        <v>#REF!</v>
      </c>
      <c r="AE31" s="54" t="e">
        <f>IF(AND('Administrativo '!#REF!="Media",'Administrativo '!#REF!="Mayor"),CONCATENATE("R6C",'Administrativo '!#REF!),"")</f>
        <v>#REF!</v>
      </c>
      <c r="AF31" s="54" t="e">
        <f>IF(AND('Administrativo '!#REF!="Media",'Administrativo '!#REF!="Mayor"),CONCATENATE("R6C",'Administrativo '!#REF!),"")</f>
        <v>#REF!</v>
      </c>
      <c r="AG31" s="55" t="e">
        <f>IF(AND('Administrativo '!#REF!="Media",'Administrativo '!#REF!="Mayor"),CONCATENATE("R6C",'Administrativo '!#REF!),"")</f>
        <v>#REF!</v>
      </c>
      <c r="AH31" s="56" t="e">
        <f>IF(AND('Administrativo '!#REF!="Media",'Administrativo '!#REF!="Catastrófico"),CONCATENATE("R6C",'Administrativo '!#REF!),"")</f>
        <v>#REF!</v>
      </c>
      <c r="AI31" s="57" t="e">
        <f>IF(AND('Administrativo '!#REF!="Media",'Administrativo '!#REF!="Catastrófico"),CONCATENATE("R6C",'Administrativo '!#REF!),"")</f>
        <v>#REF!</v>
      </c>
      <c r="AJ31" s="57" t="e">
        <f>IF(AND('Administrativo '!#REF!="Media",'Administrativo '!#REF!="Catastrófico"),CONCATENATE("R6C",'Administrativo '!#REF!),"")</f>
        <v>#REF!</v>
      </c>
      <c r="AK31" s="57" t="e">
        <f>IF(AND('Administrativo '!#REF!="Media",'Administrativo '!#REF!="Catastrófico"),CONCATENATE("R6C",'Administrativo '!#REF!),"")</f>
        <v>#REF!</v>
      </c>
      <c r="AL31" s="57" t="e">
        <f>IF(AND('Administrativo '!#REF!="Media",'Administrativo '!#REF!="Catastrófico"),CONCATENATE("R6C",'Administrativo '!#REF!),"")</f>
        <v>#REF!</v>
      </c>
      <c r="AM31" s="58" t="e">
        <f>IF(AND('Administrativo '!#REF!="Media",'Administrativo '!#REF!="Catastrófico"),CONCATENATE("R6C",'Administrativo '!#REF!),"")</f>
        <v>#REF!</v>
      </c>
      <c r="AN31" s="84"/>
      <c r="AO31" s="442"/>
      <c r="AP31" s="443"/>
      <c r="AQ31" s="443"/>
      <c r="AR31" s="443"/>
      <c r="AS31" s="443"/>
      <c r="AT31" s="44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361"/>
      <c r="C32" s="361"/>
      <c r="D32" s="362"/>
      <c r="E32" s="402"/>
      <c r="F32" s="403"/>
      <c r="G32" s="403"/>
      <c r="H32" s="403"/>
      <c r="I32" s="404"/>
      <c r="J32" s="68" t="e">
        <f>IF(AND('Administrativo '!#REF!="Media",'Administrativo '!#REF!="Leve"),CONCATENATE("R7C",'Administrativo '!#REF!),"")</f>
        <v>#REF!</v>
      </c>
      <c r="K32" s="69" t="e">
        <f>IF(AND('Administrativo '!#REF!="Media",'Administrativo '!#REF!="Leve"),CONCATENATE("R7C",'Administrativo '!#REF!),"")</f>
        <v>#REF!</v>
      </c>
      <c r="L32" s="69" t="e">
        <f>IF(AND('Administrativo '!#REF!="Media",'Administrativo '!#REF!="Leve"),CONCATENATE("R7C",'Administrativo '!#REF!),"")</f>
        <v>#REF!</v>
      </c>
      <c r="M32" s="69" t="e">
        <f>IF(AND('Administrativo '!#REF!="Media",'Administrativo '!#REF!="Leve"),CONCATENATE("R7C",'Administrativo '!#REF!),"")</f>
        <v>#REF!</v>
      </c>
      <c r="N32" s="69" t="e">
        <f>IF(AND('Administrativo '!#REF!="Media",'Administrativo '!#REF!="Leve"),CONCATENATE("R7C",'Administrativo '!#REF!),"")</f>
        <v>#REF!</v>
      </c>
      <c r="O32" s="70" t="e">
        <f>IF(AND('Administrativo '!#REF!="Media",'Administrativo '!#REF!="Leve"),CONCATENATE("R7C",'Administrativo '!#REF!),"")</f>
        <v>#REF!</v>
      </c>
      <c r="P32" s="68" t="e">
        <f>IF(AND('Administrativo '!#REF!="Media",'Administrativo '!#REF!="Menor"),CONCATENATE("R7C",'Administrativo '!#REF!),"")</f>
        <v>#REF!</v>
      </c>
      <c r="Q32" s="69" t="e">
        <f>IF(AND('Administrativo '!#REF!="Media",'Administrativo '!#REF!="Menor"),CONCATENATE("R7C",'Administrativo '!#REF!),"")</f>
        <v>#REF!</v>
      </c>
      <c r="R32" s="69" t="e">
        <f>IF(AND('Administrativo '!#REF!="Media",'Administrativo '!#REF!="Menor"),CONCATENATE("R7C",'Administrativo '!#REF!),"")</f>
        <v>#REF!</v>
      </c>
      <c r="S32" s="69" t="e">
        <f>IF(AND('Administrativo '!#REF!="Media",'Administrativo '!#REF!="Menor"),CONCATENATE("R7C",'Administrativo '!#REF!),"")</f>
        <v>#REF!</v>
      </c>
      <c r="T32" s="69" t="e">
        <f>IF(AND('Administrativo '!#REF!="Media",'Administrativo '!#REF!="Menor"),CONCATENATE("R7C",'Administrativo '!#REF!),"")</f>
        <v>#REF!</v>
      </c>
      <c r="U32" s="70" t="e">
        <f>IF(AND('Administrativo '!#REF!="Media",'Administrativo '!#REF!="Menor"),CONCATENATE("R7C",'Administrativo '!#REF!),"")</f>
        <v>#REF!</v>
      </c>
      <c r="V32" s="68" t="e">
        <f>IF(AND('Administrativo '!#REF!="Media",'Administrativo '!#REF!="Moderado"),CONCATENATE("R7C",'Administrativo '!#REF!),"")</f>
        <v>#REF!</v>
      </c>
      <c r="W32" s="69" t="e">
        <f>IF(AND('Administrativo '!#REF!="Media",'Administrativo '!#REF!="Moderado"),CONCATENATE("R7C",'Administrativo '!#REF!),"")</f>
        <v>#REF!</v>
      </c>
      <c r="X32" s="69" t="e">
        <f>IF(AND('Administrativo '!#REF!="Media",'Administrativo '!#REF!="Moderado"),CONCATENATE("R7C",'Administrativo '!#REF!),"")</f>
        <v>#REF!</v>
      </c>
      <c r="Y32" s="69" t="e">
        <f>IF(AND('Administrativo '!#REF!="Media",'Administrativo '!#REF!="Moderado"),CONCATENATE("R7C",'Administrativo '!#REF!),"")</f>
        <v>#REF!</v>
      </c>
      <c r="Z32" s="69" t="e">
        <f>IF(AND('Administrativo '!#REF!="Media",'Administrativo '!#REF!="Moderado"),CONCATENATE("R7C",'Administrativo '!#REF!),"")</f>
        <v>#REF!</v>
      </c>
      <c r="AA32" s="70" t="e">
        <f>IF(AND('Administrativo '!#REF!="Media",'Administrativo '!#REF!="Moderado"),CONCATENATE("R7C",'Administrativo '!#REF!),"")</f>
        <v>#REF!</v>
      </c>
      <c r="AB32" s="53" t="e">
        <f>IF(AND('Administrativo '!#REF!="Media",'Administrativo '!#REF!="Mayor"),CONCATENATE("R7C",'Administrativo '!#REF!),"")</f>
        <v>#REF!</v>
      </c>
      <c r="AC32" s="54" t="e">
        <f>IF(AND('Administrativo '!#REF!="Media",'Administrativo '!#REF!="Mayor"),CONCATENATE("R7C",'Administrativo '!#REF!),"")</f>
        <v>#REF!</v>
      </c>
      <c r="AD32" s="54" t="e">
        <f>IF(AND('Administrativo '!#REF!="Media",'Administrativo '!#REF!="Mayor"),CONCATENATE("R7C",'Administrativo '!#REF!),"")</f>
        <v>#REF!</v>
      </c>
      <c r="AE32" s="54" t="e">
        <f>IF(AND('Administrativo '!#REF!="Media",'Administrativo '!#REF!="Mayor"),CONCATENATE("R7C",'Administrativo '!#REF!),"")</f>
        <v>#REF!</v>
      </c>
      <c r="AF32" s="54" t="e">
        <f>IF(AND('Administrativo '!#REF!="Media",'Administrativo '!#REF!="Mayor"),CONCATENATE("R7C",'Administrativo '!#REF!),"")</f>
        <v>#REF!</v>
      </c>
      <c r="AG32" s="55" t="e">
        <f>IF(AND('Administrativo '!#REF!="Media",'Administrativo '!#REF!="Mayor"),CONCATENATE("R7C",'Administrativo '!#REF!),"")</f>
        <v>#REF!</v>
      </c>
      <c r="AH32" s="56" t="e">
        <f>IF(AND('Administrativo '!#REF!="Media",'Administrativo '!#REF!="Catastrófico"),CONCATENATE("R7C",'Administrativo '!#REF!),"")</f>
        <v>#REF!</v>
      </c>
      <c r="AI32" s="57" t="e">
        <f>IF(AND('Administrativo '!#REF!="Media",'Administrativo '!#REF!="Catastrófico"),CONCATENATE("R7C",'Administrativo '!#REF!),"")</f>
        <v>#REF!</v>
      </c>
      <c r="AJ32" s="57" t="e">
        <f>IF(AND('Administrativo '!#REF!="Media",'Administrativo '!#REF!="Catastrófico"),CONCATENATE("R7C",'Administrativo '!#REF!),"")</f>
        <v>#REF!</v>
      </c>
      <c r="AK32" s="57" t="e">
        <f>IF(AND('Administrativo '!#REF!="Media",'Administrativo '!#REF!="Catastrófico"),CONCATENATE("R7C",'Administrativo '!#REF!),"")</f>
        <v>#REF!</v>
      </c>
      <c r="AL32" s="57" t="e">
        <f>IF(AND('Administrativo '!#REF!="Media",'Administrativo '!#REF!="Catastrófico"),CONCATENATE("R7C",'Administrativo '!#REF!),"")</f>
        <v>#REF!</v>
      </c>
      <c r="AM32" s="58" t="e">
        <f>IF(AND('Administrativo '!#REF!="Media",'Administrativo '!#REF!="Catastrófico"),CONCATENATE("R7C",'Administrativo '!#REF!),"")</f>
        <v>#REF!</v>
      </c>
      <c r="AN32" s="84"/>
      <c r="AO32" s="442"/>
      <c r="AP32" s="443"/>
      <c r="AQ32" s="443"/>
      <c r="AR32" s="443"/>
      <c r="AS32" s="443"/>
      <c r="AT32" s="44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361"/>
      <c r="C33" s="361"/>
      <c r="D33" s="362"/>
      <c r="E33" s="402"/>
      <c r="F33" s="403"/>
      <c r="G33" s="403"/>
      <c r="H33" s="403"/>
      <c r="I33" s="404"/>
      <c r="J33" s="68" t="e">
        <f>IF(AND('Administrativo '!#REF!="Media",'Administrativo '!#REF!="Leve"),CONCATENATE("R8C",'Administrativo '!#REF!),"")</f>
        <v>#REF!</v>
      </c>
      <c r="K33" s="69" t="e">
        <f>IF(AND('Administrativo '!#REF!="Media",'Administrativo '!#REF!="Leve"),CONCATENATE("R8C",'Administrativo '!#REF!),"")</f>
        <v>#REF!</v>
      </c>
      <c r="L33" s="69" t="e">
        <f>IF(AND('Administrativo '!#REF!="Media",'Administrativo '!#REF!="Leve"),CONCATENATE("R8C",'Administrativo '!#REF!),"")</f>
        <v>#REF!</v>
      </c>
      <c r="M33" s="69" t="e">
        <f>IF(AND('Administrativo '!#REF!="Media",'Administrativo '!#REF!="Leve"),CONCATENATE("R8C",'Administrativo '!#REF!),"")</f>
        <v>#REF!</v>
      </c>
      <c r="N33" s="69" t="e">
        <f>IF(AND('Administrativo '!#REF!="Media",'Administrativo '!#REF!="Leve"),CONCATENATE("R8C",'Administrativo '!#REF!),"")</f>
        <v>#REF!</v>
      </c>
      <c r="O33" s="70" t="e">
        <f>IF(AND('Administrativo '!#REF!="Media",'Administrativo '!#REF!="Leve"),CONCATENATE("R8C",'Administrativo '!#REF!),"")</f>
        <v>#REF!</v>
      </c>
      <c r="P33" s="68" t="e">
        <f>IF(AND('Administrativo '!#REF!="Media",'Administrativo '!#REF!="Menor"),CONCATENATE("R8C",'Administrativo '!#REF!),"")</f>
        <v>#REF!</v>
      </c>
      <c r="Q33" s="69" t="e">
        <f>IF(AND('Administrativo '!#REF!="Media",'Administrativo '!#REF!="Menor"),CONCATENATE("R8C",'Administrativo '!#REF!),"")</f>
        <v>#REF!</v>
      </c>
      <c r="R33" s="69" t="e">
        <f>IF(AND('Administrativo '!#REF!="Media",'Administrativo '!#REF!="Menor"),CONCATENATE("R8C",'Administrativo '!#REF!),"")</f>
        <v>#REF!</v>
      </c>
      <c r="S33" s="69" t="e">
        <f>IF(AND('Administrativo '!#REF!="Media",'Administrativo '!#REF!="Menor"),CONCATENATE("R8C",'Administrativo '!#REF!),"")</f>
        <v>#REF!</v>
      </c>
      <c r="T33" s="69" t="e">
        <f>IF(AND('Administrativo '!#REF!="Media",'Administrativo '!#REF!="Menor"),CONCATENATE("R8C",'Administrativo '!#REF!),"")</f>
        <v>#REF!</v>
      </c>
      <c r="U33" s="70" t="e">
        <f>IF(AND('Administrativo '!#REF!="Media",'Administrativo '!#REF!="Menor"),CONCATENATE("R8C",'Administrativo '!#REF!),"")</f>
        <v>#REF!</v>
      </c>
      <c r="V33" s="68" t="e">
        <f>IF(AND('Administrativo '!#REF!="Media",'Administrativo '!#REF!="Moderado"),CONCATENATE("R8C",'Administrativo '!#REF!),"")</f>
        <v>#REF!</v>
      </c>
      <c r="W33" s="69" t="e">
        <f>IF(AND('Administrativo '!#REF!="Media",'Administrativo '!#REF!="Moderado"),CONCATENATE("R8C",'Administrativo '!#REF!),"")</f>
        <v>#REF!</v>
      </c>
      <c r="X33" s="69" t="e">
        <f>IF(AND('Administrativo '!#REF!="Media",'Administrativo '!#REF!="Moderado"),CONCATENATE("R8C",'Administrativo '!#REF!),"")</f>
        <v>#REF!</v>
      </c>
      <c r="Y33" s="69" t="e">
        <f>IF(AND('Administrativo '!#REF!="Media",'Administrativo '!#REF!="Moderado"),CONCATENATE("R8C",'Administrativo '!#REF!),"")</f>
        <v>#REF!</v>
      </c>
      <c r="Z33" s="69" t="e">
        <f>IF(AND('Administrativo '!#REF!="Media",'Administrativo '!#REF!="Moderado"),CONCATENATE("R8C",'Administrativo '!#REF!),"")</f>
        <v>#REF!</v>
      </c>
      <c r="AA33" s="70" t="e">
        <f>IF(AND('Administrativo '!#REF!="Media",'Administrativo '!#REF!="Moderado"),CONCATENATE("R8C",'Administrativo '!#REF!),"")</f>
        <v>#REF!</v>
      </c>
      <c r="AB33" s="53" t="e">
        <f>IF(AND('Administrativo '!#REF!="Media",'Administrativo '!#REF!="Mayor"),CONCATENATE("R8C",'Administrativo '!#REF!),"")</f>
        <v>#REF!</v>
      </c>
      <c r="AC33" s="54" t="e">
        <f>IF(AND('Administrativo '!#REF!="Media",'Administrativo '!#REF!="Mayor"),CONCATENATE("R8C",'Administrativo '!#REF!),"")</f>
        <v>#REF!</v>
      </c>
      <c r="AD33" s="54" t="e">
        <f>IF(AND('Administrativo '!#REF!="Media",'Administrativo '!#REF!="Mayor"),CONCATENATE("R8C",'Administrativo '!#REF!),"")</f>
        <v>#REF!</v>
      </c>
      <c r="AE33" s="54" t="e">
        <f>IF(AND('Administrativo '!#REF!="Media",'Administrativo '!#REF!="Mayor"),CONCATENATE("R8C",'Administrativo '!#REF!),"")</f>
        <v>#REF!</v>
      </c>
      <c r="AF33" s="54" t="e">
        <f>IF(AND('Administrativo '!#REF!="Media",'Administrativo '!#REF!="Mayor"),CONCATENATE("R8C",'Administrativo '!#REF!),"")</f>
        <v>#REF!</v>
      </c>
      <c r="AG33" s="55" t="e">
        <f>IF(AND('Administrativo '!#REF!="Media",'Administrativo '!#REF!="Mayor"),CONCATENATE("R8C",'Administrativo '!#REF!),"")</f>
        <v>#REF!</v>
      </c>
      <c r="AH33" s="56" t="e">
        <f>IF(AND('Administrativo '!#REF!="Media",'Administrativo '!#REF!="Catastrófico"),CONCATENATE("R8C",'Administrativo '!#REF!),"")</f>
        <v>#REF!</v>
      </c>
      <c r="AI33" s="57" t="e">
        <f>IF(AND('Administrativo '!#REF!="Media",'Administrativo '!#REF!="Catastrófico"),CONCATENATE("R8C",'Administrativo '!#REF!),"")</f>
        <v>#REF!</v>
      </c>
      <c r="AJ33" s="57" t="e">
        <f>IF(AND('Administrativo '!#REF!="Media",'Administrativo '!#REF!="Catastrófico"),CONCATENATE("R8C",'Administrativo '!#REF!),"")</f>
        <v>#REF!</v>
      </c>
      <c r="AK33" s="57" t="e">
        <f>IF(AND('Administrativo '!#REF!="Media",'Administrativo '!#REF!="Catastrófico"),CONCATENATE("R8C",'Administrativo '!#REF!),"")</f>
        <v>#REF!</v>
      </c>
      <c r="AL33" s="57" t="e">
        <f>IF(AND('Administrativo '!#REF!="Media",'Administrativo '!#REF!="Catastrófico"),CONCATENATE("R8C",'Administrativo '!#REF!),"")</f>
        <v>#REF!</v>
      </c>
      <c r="AM33" s="58" t="e">
        <f>IF(AND('Administrativo '!#REF!="Media",'Administrativo '!#REF!="Catastrófico"),CONCATENATE("R8C",'Administrativo '!#REF!),"")</f>
        <v>#REF!</v>
      </c>
      <c r="AN33" s="84"/>
      <c r="AO33" s="442"/>
      <c r="AP33" s="443"/>
      <c r="AQ33" s="443"/>
      <c r="AR33" s="443"/>
      <c r="AS33" s="443"/>
      <c r="AT33" s="44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361"/>
      <c r="C34" s="361"/>
      <c r="D34" s="362"/>
      <c r="E34" s="402"/>
      <c r="F34" s="403"/>
      <c r="G34" s="403"/>
      <c r="H34" s="403"/>
      <c r="I34" s="404"/>
      <c r="J34" s="68" t="e">
        <f>IF(AND('Administrativo '!#REF!="Media",'Administrativo '!#REF!="Leve"),CONCATENATE("R9C",'Administrativo '!#REF!),"")</f>
        <v>#REF!</v>
      </c>
      <c r="K34" s="69" t="e">
        <f>IF(AND('Administrativo '!#REF!="Media",'Administrativo '!#REF!="Leve"),CONCATENATE("R9C",'Administrativo '!#REF!),"")</f>
        <v>#REF!</v>
      </c>
      <c r="L34" s="69" t="e">
        <f>IF(AND('Administrativo '!#REF!="Media",'Administrativo '!#REF!="Leve"),CONCATENATE("R9C",'Administrativo '!#REF!),"")</f>
        <v>#REF!</v>
      </c>
      <c r="M34" s="69" t="e">
        <f>IF(AND('Administrativo '!#REF!="Media",'Administrativo '!#REF!="Leve"),CONCATENATE("R9C",'Administrativo '!#REF!),"")</f>
        <v>#REF!</v>
      </c>
      <c r="N34" s="69" t="e">
        <f>IF(AND('Administrativo '!#REF!="Media",'Administrativo '!#REF!="Leve"),CONCATENATE("R9C",'Administrativo '!#REF!),"")</f>
        <v>#REF!</v>
      </c>
      <c r="O34" s="70" t="e">
        <f>IF(AND('Administrativo '!#REF!="Media",'Administrativo '!#REF!="Leve"),CONCATENATE("R9C",'Administrativo '!#REF!),"")</f>
        <v>#REF!</v>
      </c>
      <c r="P34" s="68" t="e">
        <f>IF(AND('Administrativo '!#REF!="Media",'Administrativo '!#REF!="Menor"),CONCATENATE("R9C",'Administrativo '!#REF!),"")</f>
        <v>#REF!</v>
      </c>
      <c r="Q34" s="69" t="e">
        <f>IF(AND('Administrativo '!#REF!="Media",'Administrativo '!#REF!="Menor"),CONCATENATE("R9C",'Administrativo '!#REF!),"")</f>
        <v>#REF!</v>
      </c>
      <c r="R34" s="69" t="e">
        <f>IF(AND('Administrativo '!#REF!="Media",'Administrativo '!#REF!="Menor"),CONCATENATE("R9C",'Administrativo '!#REF!),"")</f>
        <v>#REF!</v>
      </c>
      <c r="S34" s="69" t="e">
        <f>IF(AND('Administrativo '!#REF!="Media",'Administrativo '!#REF!="Menor"),CONCATENATE("R9C",'Administrativo '!#REF!),"")</f>
        <v>#REF!</v>
      </c>
      <c r="T34" s="69" t="e">
        <f>IF(AND('Administrativo '!#REF!="Media",'Administrativo '!#REF!="Menor"),CONCATENATE("R9C",'Administrativo '!#REF!),"")</f>
        <v>#REF!</v>
      </c>
      <c r="U34" s="70" t="e">
        <f>IF(AND('Administrativo '!#REF!="Media",'Administrativo '!#REF!="Menor"),CONCATENATE("R9C",'Administrativo '!#REF!),"")</f>
        <v>#REF!</v>
      </c>
      <c r="V34" s="68" t="e">
        <f>IF(AND('Administrativo '!#REF!="Media",'Administrativo '!#REF!="Moderado"),CONCATENATE("R9C",'Administrativo '!#REF!),"")</f>
        <v>#REF!</v>
      </c>
      <c r="W34" s="69" t="e">
        <f>IF(AND('Administrativo '!#REF!="Media",'Administrativo '!#REF!="Moderado"),CONCATENATE("R9C",'Administrativo '!#REF!),"")</f>
        <v>#REF!</v>
      </c>
      <c r="X34" s="69" t="e">
        <f>IF(AND('Administrativo '!#REF!="Media",'Administrativo '!#REF!="Moderado"),CONCATENATE("R9C",'Administrativo '!#REF!),"")</f>
        <v>#REF!</v>
      </c>
      <c r="Y34" s="69" t="e">
        <f>IF(AND('Administrativo '!#REF!="Media",'Administrativo '!#REF!="Moderado"),CONCATENATE("R9C",'Administrativo '!#REF!),"")</f>
        <v>#REF!</v>
      </c>
      <c r="Z34" s="69" t="e">
        <f>IF(AND('Administrativo '!#REF!="Media",'Administrativo '!#REF!="Moderado"),CONCATENATE("R9C",'Administrativo '!#REF!),"")</f>
        <v>#REF!</v>
      </c>
      <c r="AA34" s="70" t="e">
        <f>IF(AND('Administrativo '!#REF!="Media",'Administrativo '!#REF!="Moderado"),CONCATENATE("R9C",'Administrativo '!#REF!),"")</f>
        <v>#REF!</v>
      </c>
      <c r="AB34" s="53" t="e">
        <f>IF(AND('Administrativo '!#REF!="Media",'Administrativo '!#REF!="Mayor"),CONCATENATE("R9C",'Administrativo '!#REF!),"")</f>
        <v>#REF!</v>
      </c>
      <c r="AC34" s="54" t="e">
        <f>IF(AND('Administrativo '!#REF!="Media",'Administrativo '!#REF!="Mayor"),CONCATENATE("R9C",'Administrativo '!#REF!),"")</f>
        <v>#REF!</v>
      </c>
      <c r="AD34" s="54" t="e">
        <f>IF(AND('Administrativo '!#REF!="Media",'Administrativo '!#REF!="Mayor"),CONCATENATE("R9C",'Administrativo '!#REF!),"")</f>
        <v>#REF!</v>
      </c>
      <c r="AE34" s="54" t="e">
        <f>IF(AND('Administrativo '!#REF!="Media",'Administrativo '!#REF!="Mayor"),CONCATENATE("R9C",'Administrativo '!#REF!),"")</f>
        <v>#REF!</v>
      </c>
      <c r="AF34" s="54" t="e">
        <f>IF(AND('Administrativo '!#REF!="Media",'Administrativo '!#REF!="Mayor"),CONCATENATE("R9C",'Administrativo '!#REF!),"")</f>
        <v>#REF!</v>
      </c>
      <c r="AG34" s="55" t="e">
        <f>IF(AND('Administrativo '!#REF!="Media",'Administrativo '!#REF!="Mayor"),CONCATENATE("R9C",'Administrativo '!#REF!),"")</f>
        <v>#REF!</v>
      </c>
      <c r="AH34" s="56" t="e">
        <f>IF(AND('Administrativo '!#REF!="Media",'Administrativo '!#REF!="Catastrófico"),CONCATENATE("R9C",'Administrativo '!#REF!),"")</f>
        <v>#REF!</v>
      </c>
      <c r="AI34" s="57" t="e">
        <f>IF(AND('Administrativo '!#REF!="Media",'Administrativo '!#REF!="Catastrófico"),CONCATENATE("R9C",'Administrativo '!#REF!),"")</f>
        <v>#REF!</v>
      </c>
      <c r="AJ34" s="57" t="e">
        <f>IF(AND('Administrativo '!#REF!="Media",'Administrativo '!#REF!="Catastrófico"),CONCATENATE("R9C",'Administrativo '!#REF!),"")</f>
        <v>#REF!</v>
      </c>
      <c r="AK34" s="57" t="e">
        <f>IF(AND('Administrativo '!#REF!="Media",'Administrativo '!#REF!="Catastrófico"),CONCATENATE("R9C",'Administrativo '!#REF!),"")</f>
        <v>#REF!</v>
      </c>
      <c r="AL34" s="57" t="e">
        <f>IF(AND('Administrativo '!#REF!="Media",'Administrativo '!#REF!="Catastrófico"),CONCATENATE("R9C",'Administrativo '!#REF!),"")</f>
        <v>#REF!</v>
      </c>
      <c r="AM34" s="58" t="e">
        <f>IF(AND('Administrativo '!#REF!="Media",'Administrativo '!#REF!="Catastrófico"),CONCATENATE("R9C",'Administrativo '!#REF!),"")</f>
        <v>#REF!</v>
      </c>
      <c r="AN34" s="84"/>
      <c r="AO34" s="442"/>
      <c r="AP34" s="443"/>
      <c r="AQ34" s="443"/>
      <c r="AR34" s="443"/>
      <c r="AS34" s="443"/>
      <c r="AT34" s="44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361"/>
      <c r="C35" s="361"/>
      <c r="D35" s="362"/>
      <c r="E35" s="405"/>
      <c r="F35" s="406"/>
      <c r="G35" s="406"/>
      <c r="H35" s="406"/>
      <c r="I35" s="407"/>
      <c r="J35" s="68" t="e">
        <f>IF(AND('Administrativo '!#REF!="Media",'Administrativo '!#REF!="Leve"),CONCATENATE("R10C",'Administrativo '!#REF!),"")</f>
        <v>#REF!</v>
      </c>
      <c r="K35" s="69" t="e">
        <f>IF(AND('Administrativo '!#REF!="Media",'Administrativo '!#REF!="Leve"),CONCATENATE("R10C",'Administrativo '!#REF!),"")</f>
        <v>#REF!</v>
      </c>
      <c r="L35" s="69" t="e">
        <f>IF(AND('Administrativo '!#REF!="Media",'Administrativo '!#REF!="Leve"),CONCATENATE("R10C",'Administrativo '!#REF!),"")</f>
        <v>#REF!</v>
      </c>
      <c r="M35" s="69" t="e">
        <f>IF(AND('Administrativo '!#REF!="Media",'Administrativo '!#REF!="Leve"),CONCATENATE("R10C",'Administrativo '!#REF!),"")</f>
        <v>#REF!</v>
      </c>
      <c r="N35" s="69" t="e">
        <f>IF(AND('Administrativo '!#REF!="Media",'Administrativo '!#REF!="Leve"),CONCATENATE("R10C",'Administrativo '!#REF!),"")</f>
        <v>#REF!</v>
      </c>
      <c r="O35" s="70" t="e">
        <f>IF(AND('Administrativo '!#REF!="Media",'Administrativo '!#REF!="Leve"),CONCATENATE("R10C",'Administrativo '!#REF!),"")</f>
        <v>#REF!</v>
      </c>
      <c r="P35" s="68" t="e">
        <f>IF(AND('Administrativo '!#REF!="Media",'Administrativo '!#REF!="Menor"),CONCATENATE("R10C",'Administrativo '!#REF!),"")</f>
        <v>#REF!</v>
      </c>
      <c r="Q35" s="69" t="e">
        <f>IF(AND('Administrativo '!#REF!="Media",'Administrativo '!#REF!="Menor"),CONCATENATE("R10C",'Administrativo '!#REF!),"")</f>
        <v>#REF!</v>
      </c>
      <c r="R35" s="69" t="e">
        <f>IF(AND('Administrativo '!#REF!="Media",'Administrativo '!#REF!="Menor"),CONCATENATE("R10C",'Administrativo '!#REF!),"")</f>
        <v>#REF!</v>
      </c>
      <c r="S35" s="69" t="e">
        <f>IF(AND('Administrativo '!#REF!="Media",'Administrativo '!#REF!="Menor"),CONCATENATE("R10C",'Administrativo '!#REF!),"")</f>
        <v>#REF!</v>
      </c>
      <c r="T35" s="69" t="e">
        <f>IF(AND('Administrativo '!#REF!="Media",'Administrativo '!#REF!="Menor"),CONCATENATE("R10C",'Administrativo '!#REF!),"")</f>
        <v>#REF!</v>
      </c>
      <c r="U35" s="70" t="e">
        <f>IF(AND('Administrativo '!#REF!="Media",'Administrativo '!#REF!="Menor"),CONCATENATE("R10C",'Administrativo '!#REF!),"")</f>
        <v>#REF!</v>
      </c>
      <c r="V35" s="68" t="e">
        <f>IF(AND('Administrativo '!#REF!="Media",'Administrativo '!#REF!="Moderado"),CONCATENATE("R10C",'Administrativo '!#REF!),"")</f>
        <v>#REF!</v>
      </c>
      <c r="W35" s="69" t="e">
        <f>IF(AND('Administrativo '!#REF!="Media",'Administrativo '!#REF!="Moderado"),CONCATENATE("R10C",'Administrativo '!#REF!),"")</f>
        <v>#REF!</v>
      </c>
      <c r="X35" s="69" t="e">
        <f>IF(AND('Administrativo '!#REF!="Media",'Administrativo '!#REF!="Moderado"),CONCATENATE("R10C",'Administrativo '!#REF!),"")</f>
        <v>#REF!</v>
      </c>
      <c r="Y35" s="69" t="e">
        <f>IF(AND('Administrativo '!#REF!="Media",'Administrativo '!#REF!="Moderado"),CONCATENATE("R10C",'Administrativo '!#REF!),"")</f>
        <v>#REF!</v>
      </c>
      <c r="Z35" s="69" t="e">
        <f>IF(AND('Administrativo '!#REF!="Media",'Administrativo '!#REF!="Moderado"),CONCATENATE("R10C",'Administrativo '!#REF!),"")</f>
        <v>#REF!</v>
      </c>
      <c r="AA35" s="70" t="e">
        <f>IF(AND('Administrativo '!#REF!="Media",'Administrativo '!#REF!="Moderado"),CONCATENATE("R10C",'Administrativo '!#REF!),"")</f>
        <v>#REF!</v>
      </c>
      <c r="AB35" s="59" t="e">
        <f>IF(AND('Administrativo '!#REF!="Media",'Administrativo '!#REF!="Mayor"),CONCATENATE("R10C",'Administrativo '!#REF!),"")</f>
        <v>#REF!</v>
      </c>
      <c r="AC35" s="60" t="e">
        <f>IF(AND('Administrativo '!#REF!="Media",'Administrativo '!#REF!="Mayor"),CONCATENATE("R10C",'Administrativo '!#REF!),"")</f>
        <v>#REF!</v>
      </c>
      <c r="AD35" s="60" t="e">
        <f>IF(AND('Administrativo '!#REF!="Media",'Administrativo '!#REF!="Mayor"),CONCATENATE("R10C",'Administrativo '!#REF!),"")</f>
        <v>#REF!</v>
      </c>
      <c r="AE35" s="60" t="e">
        <f>IF(AND('Administrativo '!#REF!="Media",'Administrativo '!#REF!="Mayor"),CONCATENATE("R10C",'Administrativo '!#REF!),"")</f>
        <v>#REF!</v>
      </c>
      <c r="AF35" s="60" t="e">
        <f>IF(AND('Administrativo '!#REF!="Media",'Administrativo '!#REF!="Mayor"),CONCATENATE("R10C",'Administrativo '!#REF!),"")</f>
        <v>#REF!</v>
      </c>
      <c r="AG35" s="61" t="e">
        <f>IF(AND('Administrativo '!#REF!="Media",'Administrativo '!#REF!="Mayor"),CONCATENATE("R10C",'Administrativo '!#REF!),"")</f>
        <v>#REF!</v>
      </c>
      <c r="AH35" s="62" t="e">
        <f>IF(AND('Administrativo '!#REF!="Media",'Administrativo '!#REF!="Catastrófico"),CONCATENATE("R10C",'Administrativo '!#REF!),"")</f>
        <v>#REF!</v>
      </c>
      <c r="AI35" s="63" t="e">
        <f>IF(AND('Administrativo '!#REF!="Media",'Administrativo '!#REF!="Catastrófico"),CONCATENATE("R10C",'Administrativo '!#REF!),"")</f>
        <v>#REF!</v>
      </c>
      <c r="AJ35" s="63" t="e">
        <f>IF(AND('Administrativo '!#REF!="Media",'Administrativo '!#REF!="Catastrófico"),CONCATENATE("R10C",'Administrativo '!#REF!),"")</f>
        <v>#REF!</v>
      </c>
      <c r="AK35" s="63" t="e">
        <f>IF(AND('Administrativo '!#REF!="Media",'Administrativo '!#REF!="Catastrófico"),CONCATENATE("R10C",'Administrativo '!#REF!),"")</f>
        <v>#REF!</v>
      </c>
      <c r="AL35" s="63" t="e">
        <f>IF(AND('Administrativo '!#REF!="Media",'Administrativo '!#REF!="Catastrófico"),CONCATENATE("R10C",'Administrativo '!#REF!),"")</f>
        <v>#REF!</v>
      </c>
      <c r="AM35" s="64" t="e">
        <f>IF(AND('Administrativo '!#REF!="Media",'Administrativo '!#REF!="Catastrófico"),CONCATENATE("R10C",'Administrativo '!#REF!),"")</f>
        <v>#REF!</v>
      </c>
      <c r="AN35" s="84"/>
      <c r="AO35" s="445"/>
      <c r="AP35" s="446"/>
      <c r="AQ35" s="446"/>
      <c r="AR35" s="446"/>
      <c r="AS35" s="446"/>
      <c r="AT35" s="447"/>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361"/>
      <c r="C36" s="361"/>
      <c r="D36" s="362"/>
      <c r="E36" s="399" t="s">
        <v>121</v>
      </c>
      <c r="F36" s="400"/>
      <c r="G36" s="400"/>
      <c r="H36" s="400"/>
      <c r="I36" s="400"/>
      <c r="J36" s="74" t="str">
        <f ca="1">IF(AND('Administrativo '!$Y$10="Baja",'Administrativo '!$AA$10="Leve"),CONCATENATE("R1C",'Administrativo '!$O$10),"")</f>
        <v>R1C1</v>
      </c>
      <c r="K36" s="75" t="str">
        <f ca="1">IF(AND('Administrativo '!$Y$11="Baja",'Administrativo '!$AA$11="Leve"),CONCATENATE("R1C",'Administrativo '!$O$11),"")</f>
        <v/>
      </c>
      <c r="L36" s="75" t="e">
        <f>IF(AND('Administrativo '!#REF!="Baja",'Administrativo '!#REF!="Leve"),CONCATENATE("R1C",'Administrativo '!#REF!),"")</f>
        <v>#REF!</v>
      </c>
      <c r="M36" s="75" t="e">
        <f>IF(AND('Administrativo '!#REF!="Baja",'Administrativo '!#REF!="Leve"),CONCATENATE("R1C",'Administrativo '!#REF!),"")</f>
        <v>#REF!</v>
      </c>
      <c r="N36" s="75" t="e">
        <f>IF(AND('Administrativo '!#REF!="Baja",'Administrativo '!#REF!="Leve"),CONCATENATE("R1C",'Administrativo '!#REF!),"")</f>
        <v>#REF!</v>
      </c>
      <c r="O36" s="76" t="e">
        <f>IF(AND('Administrativo '!#REF!="Baja",'Administrativo '!#REF!="Leve"),CONCATENATE("R1C",'Administrativo '!#REF!),"")</f>
        <v>#REF!</v>
      </c>
      <c r="P36" s="65" t="str">
        <f ca="1">IF(AND('Administrativo '!$Y$10="Baja",'Administrativo '!$AA$10="Menor"),CONCATENATE("R1C",'Administrativo '!$O$10),"")</f>
        <v/>
      </c>
      <c r="Q36" s="66" t="str">
        <f ca="1">IF(AND('Administrativo '!$Y$11="Baja",'Administrativo '!$AA$11="Menor"),CONCATENATE("R1C",'Administrativo '!$O$11),"")</f>
        <v/>
      </c>
      <c r="R36" s="66" t="e">
        <f>IF(AND('Administrativo '!#REF!="Baja",'Administrativo '!#REF!="Menor"),CONCATENATE("R1C",'Administrativo '!#REF!),"")</f>
        <v>#REF!</v>
      </c>
      <c r="S36" s="66" t="e">
        <f>IF(AND('Administrativo '!#REF!="Baja",'Administrativo '!#REF!="Menor"),CONCATENATE("R1C",'Administrativo '!#REF!),"")</f>
        <v>#REF!</v>
      </c>
      <c r="T36" s="66" t="e">
        <f>IF(AND('Administrativo '!#REF!="Baja",'Administrativo '!#REF!="Menor"),CONCATENATE("R1C",'Administrativo '!#REF!),"")</f>
        <v>#REF!</v>
      </c>
      <c r="U36" s="67" t="e">
        <f>IF(AND('Administrativo '!#REF!="Baja",'Administrativo '!#REF!="Menor"),CONCATENATE("R1C",'Administrativo '!#REF!),"")</f>
        <v>#REF!</v>
      </c>
      <c r="V36" s="65" t="str">
        <f ca="1">IF(AND('Administrativo '!$Y$10="Baja",'Administrativo '!$AA$10="Moderado"),CONCATENATE("R1C",'Administrativo '!$O$10),"")</f>
        <v/>
      </c>
      <c r="W36" s="66" t="str">
        <f ca="1">IF(AND('Administrativo '!$Y$11="Baja",'Administrativo '!$AA$11="Moderado"),CONCATENATE("R1C",'Administrativo '!$O$11),"")</f>
        <v/>
      </c>
      <c r="X36" s="66" t="e">
        <f>IF(AND('Administrativo '!#REF!="Baja",'Administrativo '!#REF!="Moderado"),CONCATENATE("R1C",'Administrativo '!#REF!),"")</f>
        <v>#REF!</v>
      </c>
      <c r="Y36" s="66" t="e">
        <f>IF(AND('Administrativo '!#REF!="Baja",'Administrativo '!#REF!="Moderado"),CONCATENATE("R1C",'Administrativo '!#REF!),"")</f>
        <v>#REF!</v>
      </c>
      <c r="Z36" s="66" t="e">
        <f>IF(AND('Administrativo '!#REF!="Baja",'Administrativo '!#REF!="Moderado"),CONCATENATE("R1C",'Administrativo '!#REF!),"")</f>
        <v>#REF!</v>
      </c>
      <c r="AA36" s="67" t="e">
        <f>IF(AND('Administrativo '!#REF!="Baja",'Administrativo '!#REF!="Moderado"),CONCATENATE("R1C",'Administrativo '!#REF!),"")</f>
        <v>#REF!</v>
      </c>
      <c r="AB36" s="47" t="str">
        <f ca="1">IF(AND('Administrativo '!$Y$10="Baja",'Administrativo '!$AA$10="Mayor"),CONCATENATE("R1C",'Administrativo '!$O$10),"")</f>
        <v/>
      </c>
      <c r="AC36" s="48" t="str">
        <f ca="1">IF(AND('Administrativo '!$Y$11="Baja",'Administrativo '!$AA$11="Mayor"),CONCATENATE("R1C",'Administrativo '!$O$11),"")</f>
        <v/>
      </c>
      <c r="AD36" s="48" t="e">
        <f>IF(AND('Administrativo '!#REF!="Baja",'Administrativo '!#REF!="Mayor"),CONCATENATE("R1C",'Administrativo '!#REF!),"")</f>
        <v>#REF!</v>
      </c>
      <c r="AE36" s="48" t="e">
        <f>IF(AND('Administrativo '!#REF!="Baja",'Administrativo '!#REF!="Mayor"),CONCATENATE("R1C",'Administrativo '!#REF!),"")</f>
        <v>#REF!</v>
      </c>
      <c r="AF36" s="48" t="e">
        <f>IF(AND('Administrativo '!#REF!="Baja",'Administrativo '!#REF!="Mayor"),CONCATENATE("R1C",'Administrativo '!#REF!),"")</f>
        <v>#REF!</v>
      </c>
      <c r="AG36" s="49" t="e">
        <f>IF(AND('Administrativo '!#REF!="Baja",'Administrativo '!#REF!="Mayor"),CONCATENATE("R1C",'Administrativo '!#REF!),"")</f>
        <v>#REF!</v>
      </c>
      <c r="AH36" s="50" t="str">
        <f ca="1">IF(AND('Administrativo '!$Y$10="Baja",'Administrativo '!$AA$10="Catastrófico"),CONCATENATE("R1C",'Administrativo '!$O$10),"")</f>
        <v/>
      </c>
      <c r="AI36" s="51" t="str">
        <f ca="1">IF(AND('Administrativo '!$Y$11="Baja",'Administrativo '!$AA$11="Catastrófico"),CONCATENATE("R1C",'Administrativo '!$O$11),"")</f>
        <v/>
      </c>
      <c r="AJ36" s="51" t="e">
        <f>IF(AND('Administrativo '!#REF!="Baja",'Administrativo '!#REF!="Catastrófico"),CONCATENATE("R1C",'Administrativo '!#REF!),"")</f>
        <v>#REF!</v>
      </c>
      <c r="AK36" s="51" t="e">
        <f>IF(AND('Administrativo '!#REF!="Baja",'Administrativo '!#REF!="Catastrófico"),CONCATENATE("R1C",'Administrativo '!#REF!),"")</f>
        <v>#REF!</v>
      </c>
      <c r="AL36" s="51" t="e">
        <f>IF(AND('Administrativo '!#REF!="Baja",'Administrativo '!#REF!="Catastrófico"),CONCATENATE("R1C",'Administrativo '!#REF!),"")</f>
        <v>#REF!</v>
      </c>
      <c r="AM36" s="52" t="e">
        <f>IF(AND('Administrativo '!#REF!="Baja",'Administrativo '!#REF!="Catastrófico"),CONCATENATE("R1C",'Administrativo '!#REF!),"")</f>
        <v>#REF!</v>
      </c>
      <c r="AN36" s="84"/>
      <c r="AO36" s="430" t="s">
        <v>122</v>
      </c>
      <c r="AP36" s="431"/>
      <c r="AQ36" s="431"/>
      <c r="AR36" s="431"/>
      <c r="AS36" s="431"/>
      <c r="AT36" s="43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361"/>
      <c r="C37" s="361"/>
      <c r="D37" s="362"/>
      <c r="E37" s="418"/>
      <c r="F37" s="403"/>
      <c r="G37" s="403"/>
      <c r="H37" s="403"/>
      <c r="I37" s="403"/>
      <c r="J37" s="77" t="e">
        <f>IF(AND('Administrativo '!#REF!="Baja",'Administrativo '!#REF!="Leve"),CONCATENATE("R2C",'Administrativo '!#REF!),"")</f>
        <v>#REF!</v>
      </c>
      <c r="K37" s="78" t="e">
        <f>IF(AND('Administrativo '!#REF!="Baja",'Administrativo '!#REF!="Leve"),CONCATENATE("R2C",'Administrativo '!#REF!),"")</f>
        <v>#REF!</v>
      </c>
      <c r="L37" s="78" t="e">
        <f>IF(AND('Administrativo '!#REF!="Baja",'Administrativo '!#REF!="Leve"),CONCATENATE("R2C",'Administrativo '!#REF!),"")</f>
        <v>#REF!</v>
      </c>
      <c r="M37" s="78" t="e">
        <f>IF(AND('Administrativo '!#REF!="Baja",'Administrativo '!#REF!="Leve"),CONCATENATE("R2C",'Administrativo '!#REF!),"")</f>
        <v>#REF!</v>
      </c>
      <c r="N37" s="78" t="e">
        <f>IF(AND('Administrativo '!#REF!="Baja",'Administrativo '!#REF!="Leve"),CONCATENATE("R2C",'Administrativo '!#REF!),"")</f>
        <v>#REF!</v>
      </c>
      <c r="O37" s="79" t="e">
        <f>IF(AND('Administrativo '!#REF!="Baja",'Administrativo '!#REF!="Leve"),CONCATENATE("R2C",'Administrativo '!#REF!),"")</f>
        <v>#REF!</v>
      </c>
      <c r="P37" s="68" t="e">
        <f>IF(AND('Administrativo '!#REF!="Baja",'Administrativo '!#REF!="Menor"),CONCATENATE("R2C",'Administrativo '!#REF!),"")</f>
        <v>#REF!</v>
      </c>
      <c r="Q37" s="69" t="e">
        <f>IF(AND('Administrativo '!#REF!="Baja",'Administrativo '!#REF!="Menor"),CONCATENATE("R2C",'Administrativo '!#REF!),"")</f>
        <v>#REF!</v>
      </c>
      <c r="R37" s="69" t="e">
        <f>IF(AND('Administrativo '!#REF!="Baja",'Administrativo '!#REF!="Menor"),CONCATENATE("R2C",'Administrativo '!#REF!),"")</f>
        <v>#REF!</v>
      </c>
      <c r="S37" s="69" t="e">
        <f>IF(AND('Administrativo '!#REF!="Baja",'Administrativo '!#REF!="Menor"),CONCATENATE("R2C",'Administrativo '!#REF!),"")</f>
        <v>#REF!</v>
      </c>
      <c r="T37" s="69" t="e">
        <f>IF(AND('Administrativo '!#REF!="Baja",'Administrativo '!#REF!="Menor"),CONCATENATE("R2C",'Administrativo '!#REF!),"")</f>
        <v>#REF!</v>
      </c>
      <c r="U37" s="70" t="e">
        <f>IF(AND('Administrativo '!#REF!="Baja",'Administrativo '!#REF!="Menor"),CONCATENATE("R2C",'Administrativo '!#REF!),"")</f>
        <v>#REF!</v>
      </c>
      <c r="V37" s="68" t="e">
        <f>IF(AND('Administrativo '!#REF!="Baja",'Administrativo '!#REF!="Moderado"),CONCATENATE("R2C",'Administrativo '!#REF!),"")</f>
        <v>#REF!</v>
      </c>
      <c r="W37" s="69" t="e">
        <f>IF(AND('Administrativo '!#REF!="Baja",'Administrativo '!#REF!="Moderado"),CONCATENATE("R2C",'Administrativo '!#REF!),"")</f>
        <v>#REF!</v>
      </c>
      <c r="X37" s="69" t="e">
        <f>IF(AND('Administrativo '!#REF!="Baja",'Administrativo '!#REF!="Moderado"),CONCATENATE("R2C",'Administrativo '!#REF!),"")</f>
        <v>#REF!</v>
      </c>
      <c r="Y37" s="69" t="e">
        <f>IF(AND('Administrativo '!#REF!="Baja",'Administrativo '!#REF!="Moderado"),CONCATENATE("R2C",'Administrativo '!#REF!),"")</f>
        <v>#REF!</v>
      </c>
      <c r="Z37" s="69" t="e">
        <f>IF(AND('Administrativo '!#REF!="Baja",'Administrativo '!#REF!="Moderado"),CONCATENATE("R2C",'Administrativo '!#REF!),"")</f>
        <v>#REF!</v>
      </c>
      <c r="AA37" s="70" t="e">
        <f>IF(AND('Administrativo '!#REF!="Baja",'Administrativo '!#REF!="Moderado"),CONCATENATE("R2C",'Administrativo '!#REF!),"")</f>
        <v>#REF!</v>
      </c>
      <c r="AB37" s="53" t="e">
        <f>IF(AND('Administrativo '!#REF!="Baja",'Administrativo '!#REF!="Mayor"),CONCATENATE("R2C",'Administrativo '!#REF!),"")</f>
        <v>#REF!</v>
      </c>
      <c r="AC37" s="54" t="e">
        <f>IF(AND('Administrativo '!#REF!="Baja",'Administrativo '!#REF!="Mayor"),CONCATENATE("R2C",'Administrativo '!#REF!),"")</f>
        <v>#REF!</v>
      </c>
      <c r="AD37" s="54" t="e">
        <f>IF(AND('Administrativo '!#REF!="Baja",'Administrativo '!#REF!="Mayor"),CONCATENATE("R2C",'Administrativo '!#REF!),"")</f>
        <v>#REF!</v>
      </c>
      <c r="AE37" s="54" t="e">
        <f>IF(AND('Administrativo '!#REF!="Baja",'Administrativo '!#REF!="Mayor"),CONCATENATE("R2C",'Administrativo '!#REF!),"")</f>
        <v>#REF!</v>
      </c>
      <c r="AF37" s="54" t="e">
        <f>IF(AND('Administrativo '!#REF!="Baja",'Administrativo '!#REF!="Mayor"),CONCATENATE("R2C",'Administrativo '!#REF!),"")</f>
        <v>#REF!</v>
      </c>
      <c r="AG37" s="55" t="e">
        <f>IF(AND('Administrativo '!#REF!="Baja",'Administrativo '!#REF!="Mayor"),CONCATENATE("R2C",'Administrativo '!#REF!),"")</f>
        <v>#REF!</v>
      </c>
      <c r="AH37" s="56" t="e">
        <f>IF(AND('Administrativo '!#REF!="Baja",'Administrativo '!#REF!="Catastrófico"),CONCATENATE("R2C",'Administrativo '!#REF!),"")</f>
        <v>#REF!</v>
      </c>
      <c r="AI37" s="57" t="e">
        <f>IF(AND('Administrativo '!#REF!="Baja",'Administrativo '!#REF!="Catastrófico"),CONCATENATE("R2C",'Administrativo '!#REF!),"")</f>
        <v>#REF!</v>
      </c>
      <c r="AJ37" s="57" t="e">
        <f>IF(AND('Administrativo '!#REF!="Baja",'Administrativo '!#REF!="Catastrófico"),CONCATENATE("R2C",'Administrativo '!#REF!),"")</f>
        <v>#REF!</v>
      </c>
      <c r="AK37" s="57" t="e">
        <f>IF(AND('Administrativo '!#REF!="Baja",'Administrativo '!#REF!="Catastrófico"),CONCATENATE("R2C",'Administrativo '!#REF!),"")</f>
        <v>#REF!</v>
      </c>
      <c r="AL37" s="57" t="e">
        <f>IF(AND('Administrativo '!#REF!="Baja",'Administrativo '!#REF!="Catastrófico"),CONCATENATE("R2C",'Administrativo '!#REF!),"")</f>
        <v>#REF!</v>
      </c>
      <c r="AM37" s="58" t="e">
        <f>IF(AND('Administrativo '!#REF!="Baja",'Administrativo '!#REF!="Catastrófico"),CONCATENATE("R2C",'Administrativo '!#REF!),"")</f>
        <v>#REF!</v>
      </c>
      <c r="AN37" s="84"/>
      <c r="AO37" s="433"/>
      <c r="AP37" s="434"/>
      <c r="AQ37" s="434"/>
      <c r="AR37" s="434"/>
      <c r="AS37" s="434"/>
      <c r="AT37" s="43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361"/>
      <c r="C38" s="361"/>
      <c r="D38" s="362"/>
      <c r="E38" s="402"/>
      <c r="F38" s="403"/>
      <c r="G38" s="403"/>
      <c r="H38" s="403"/>
      <c r="I38" s="403"/>
      <c r="J38" s="77" t="e">
        <f>IF(AND('Administrativo '!#REF!="Baja",'Administrativo '!#REF!="Leve"),CONCATENATE("R3C",'Administrativo '!#REF!),"")</f>
        <v>#REF!</v>
      </c>
      <c r="K38" s="78" t="e">
        <f>IF(AND('Administrativo '!#REF!="Baja",'Administrativo '!#REF!="Leve"),CONCATENATE("R3C",'Administrativo '!#REF!),"")</f>
        <v>#REF!</v>
      </c>
      <c r="L38" s="78" t="e">
        <f>IF(AND('Administrativo '!#REF!="Baja",'Administrativo '!#REF!="Leve"),CONCATENATE("R3C",'Administrativo '!#REF!),"")</f>
        <v>#REF!</v>
      </c>
      <c r="M38" s="78" t="e">
        <f>IF(AND('Administrativo '!#REF!="Baja",'Administrativo '!#REF!="Leve"),CONCATENATE("R3C",'Administrativo '!#REF!),"")</f>
        <v>#REF!</v>
      </c>
      <c r="N38" s="78" t="e">
        <f>IF(AND('Administrativo '!#REF!="Baja",'Administrativo '!#REF!="Leve"),CONCATENATE("R3C",'Administrativo '!#REF!),"")</f>
        <v>#REF!</v>
      </c>
      <c r="O38" s="79" t="e">
        <f>IF(AND('Administrativo '!#REF!="Baja",'Administrativo '!#REF!="Leve"),CONCATENATE("R3C",'Administrativo '!#REF!),"")</f>
        <v>#REF!</v>
      </c>
      <c r="P38" s="68" t="e">
        <f>IF(AND('Administrativo '!#REF!="Baja",'Administrativo '!#REF!="Menor"),CONCATENATE("R3C",'Administrativo '!#REF!),"")</f>
        <v>#REF!</v>
      </c>
      <c r="Q38" s="69" t="e">
        <f>IF(AND('Administrativo '!#REF!="Baja",'Administrativo '!#REF!="Menor"),CONCATENATE("R3C",'Administrativo '!#REF!),"")</f>
        <v>#REF!</v>
      </c>
      <c r="R38" s="69" t="e">
        <f>IF(AND('Administrativo '!#REF!="Baja",'Administrativo '!#REF!="Menor"),CONCATENATE("R3C",'Administrativo '!#REF!),"")</f>
        <v>#REF!</v>
      </c>
      <c r="S38" s="69" t="e">
        <f>IF(AND('Administrativo '!#REF!="Baja",'Administrativo '!#REF!="Menor"),CONCATENATE("R3C",'Administrativo '!#REF!),"")</f>
        <v>#REF!</v>
      </c>
      <c r="T38" s="69" t="e">
        <f>IF(AND('Administrativo '!#REF!="Baja",'Administrativo '!#REF!="Menor"),CONCATENATE("R3C",'Administrativo '!#REF!),"")</f>
        <v>#REF!</v>
      </c>
      <c r="U38" s="70" t="e">
        <f>IF(AND('Administrativo '!#REF!="Baja",'Administrativo '!#REF!="Menor"),CONCATENATE("R3C",'Administrativo '!#REF!),"")</f>
        <v>#REF!</v>
      </c>
      <c r="V38" s="68" t="e">
        <f>IF(AND('Administrativo '!#REF!="Baja",'Administrativo '!#REF!="Moderado"),CONCATENATE("R3C",'Administrativo '!#REF!),"")</f>
        <v>#REF!</v>
      </c>
      <c r="W38" s="69" t="e">
        <f>IF(AND('Administrativo '!#REF!="Baja",'Administrativo '!#REF!="Moderado"),CONCATENATE("R3C",'Administrativo '!#REF!),"")</f>
        <v>#REF!</v>
      </c>
      <c r="X38" s="69" t="e">
        <f>IF(AND('Administrativo '!#REF!="Baja",'Administrativo '!#REF!="Moderado"),CONCATENATE("R3C",'Administrativo '!#REF!),"")</f>
        <v>#REF!</v>
      </c>
      <c r="Y38" s="69" t="e">
        <f>IF(AND('Administrativo '!#REF!="Baja",'Administrativo '!#REF!="Moderado"),CONCATENATE("R3C",'Administrativo '!#REF!),"")</f>
        <v>#REF!</v>
      </c>
      <c r="Z38" s="69" t="e">
        <f>IF(AND('Administrativo '!#REF!="Baja",'Administrativo '!#REF!="Moderado"),CONCATENATE("R3C",'Administrativo '!#REF!),"")</f>
        <v>#REF!</v>
      </c>
      <c r="AA38" s="70" t="e">
        <f>IF(AND('Administrativo '!#REF!="Baja",'Administrativo '!#REF!="Moderado"),CONCATENATE("R3C",'Administrativo '!#REF!),"")</f>
        <v>#REF!</v>
      </c>
      <c r="AB38" s="53" t="e">
        <f>IF(AND('Administrativo '!#REF!="Baja",'Administrativo '!#REF!="Mayor"),CONCATENATE("R3C",'Administrativo '!#REF!),"")</f>
        <v>#REF!</v>
      </c>
      <c r="AC38" s="54" t="e">
        <f>IF(AND('Administrativo '!#REF!="Baja",'Administrativo '!#REF!="Mayor"),CONCATENATE("R3C",'Administrativo '!#REF!),"")</f>
        <v>#REF!</v>
      </c>
      <c r="AD38" s="54" t="e">
        <f>IF(AND('Administrativo '!#REF!="Baja",'Administrativo '!#REF!="Mayor"),CONCATENATE("R3C",'Administrativo '!#REF!),"")</f>
        <v>#REF!</v>
      </c>
      <c r="AE38" s="54" t="e">
        <f>IF(AND('Administrativo '!#REF!="Baja",'Administrativo '!#REF!="Mayor"),CONCATENATE("R3C",'Administrativo '!#REF!),"")</f>
        <v>#REF!</v>
      </c>
      <c r="AF38" s="54" t="e">
        <f>IF(AND('Administrativo '!#REF!="Baja",'Administrativo '!#REF!="Mayor"),CONCATENATE("R3C",'Administrativo '!#REF!),"")</f>
        <v>#REF!</v>
      </c>
      <c r="AG38" s="55" t="e">
        <f>IF(AND('Administrativo '!#REF!="Baja",'Administrativo '!#REF!="Mayor"),CONCATENATE("R3C",'Administrativo '!#REF!),"")</f>
        <v>#REF!</v>
      </c>
      <c r="AH38" s="56" t="e">
        <f>IF(AND('Administrativo '!#REF!="Baja",'Administrativo '!#REF!="Catastrófico"),CONCATENATE("R3C",'Administrativo '!#REF!),"")</f>
        <v>#REF!</v>
      </c>
      <c r="AI38" s="57" t="e">
        <f>IF(AND('Administrativo '!#REF!="Baja",'Administrativo '!#REF!="Catastrófico"),CONCATENATE("R3C",'Administrativo '!#REF!),"")</f>
        <v>#REF!</v>
      </c>
      <c r="AJ38" s="57" t="e">
        <f>IF(AND('Administrativo '!#REF!="Baja",'Administrativo '!#REF!="Catastrófico"),CONCATENATE("R3C",'Administrativo '!#REF!),"")</f>
        <v>#REF!</v>
      </c>
      <c r="AK38" s="57" t="e">
        <f>IF(AND('Administrativo '!#REF!="Baja",'Administrativo '!#REF!="Catastrófico"),CONCATENATE("R3C",'Administrativo '!#REF!),"")</f>
        <v>#REF!</v>
      </c>
      <c r="AL38" s="57" t="e">
        <f>IF(AND('Administrativo '!#REF!="Baja",'Administrativo '!#REF!="Catastrófico"),CONCATENATE("R3C",'Administrativo '!#REF!),"")</f>
        <v>#REF!</v>
      </c>
      <c r="AM38" s="58" t="e">
        <f>IF(AND('Administrativo '!#REF!="Baja",'Administrativo '!#REF!="Catastrófico"),CONCATENATE("R3C",'Administrativo '!#REF!),"")</f>
        <v>#REF!</v>
      </c>
      <c r="AN38" s="84"/>
      <c r="AO38" s="433"/>
      <c r="AP38" s="434"/>
      <c r="AQ38" s="434"/>
      <c r="AR38" s="434"/>
      <c r="AS38" s="434"/>
      <c r="AT38" s="435"/>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361"/>
      <c r="C39" s="361"/>
      <c r="D39" s="362"/>
      <c r="E39" s="402"/>
      <c r="F39" s="403"/>
      <c r="G39" s="403"/>
      <c r="H39" s="403"/>
      <c r="I39" s="403"/>
      <c r="J39" s="77" t="e">
        <f>IF(AND('Administrativo '!#REF!="Baja",'Administrativo '!#REF!="Leve"),CONCATENATE("R4C",'Administrativo '!#REF!),"")</f>
        <v>#REF!</v>
      </c>
      <c r="K39" s="78" t="e">
        <f>IF(AND('Administrativo '!#REF!="Baja",'Administrativo '!#REF!="Leve"),CONCATENATE("R4C",'Administrativo '!#REF!),"")</f>
        <v>#REF!</v>
      </c>
      <c r="L39" s="78" t="e">
        <f>IF(AND('Administrativo '!#REF!="Baja",'Administrativo '!#REF!="Leve"),CONCATENATE("R4C",'Administrativo '!#REF!),"")</f>
        <v>#REF!</v>
      </c>
      <c r="M39" s="78" t="e">
        <f>IF(AND('Administrativo '!#REF!="Baja",'Administrativo '!#REF!="Leve"),CONCATENATE("R4C",'Administrativo '!#REF!),"")</f>
        <v>#REF!</v>
      </c>
      <c r="N39" s="78" t="e">
        <f>IF(AND('Administrativo '!#REF!="Baja",'Administrativo '!#REF!="Leve"),CONCATENATE("R4C",'Administrativo '!#REF!),"")</f>
        <v>#REF!</v>
      </c>
      <c r="O39" s="79" t="e">
        <f>IF(AND('Administrativo '!#REF!="Baja",'Administrativo '!#REF!="Leve"),CONCATENATE("R4C",'Administrativo '!#REF!),"")</f>
        <v>#REF!</v>
      </c>
      <c r="P39" s="68" t="e">
        <f>IF(AND('Administrativo '!#REF!="Baja",'Administrativo '!#REF!="Menor"),CONCATENATE("R4C",'Administrativo '!#REF!),"")</f>
        <v>#REF!</v>
      </c>
      <c r="Q39" s="69" t="e">
        <f>IF(AND('Administrativo '!#REF!="Baja",'Administrativo '!#REF!="Menor"),CONCATENATE("R4C",'Administrativo '!#REF!),"")</f>
        <v>#REF!</v>
      </c>
      <c r="R39" s="69" t="e">
        <f>IF(AND('Administrativo '!#REF!="Baja",'Administrativo '!#REF!="Menor"),CONCATENATE("R4C",'Administrativo '!#REF!),"")</f>
        <v>#REF!</v>
      </c>
      <c r="S39" s="69" t="e">
        <f>IF(AND('Administrativo '!#REF!="Baja",'Administrativo '!#REF!="Menor"),CONCATENATE("R4C",'Administrativo '!#REF!),"")</f>
        <v>#REF!</v>
      </c>
      <c r="T39" s="69" t="e">
        <f>IF(AND('Administrativo '!#REF!="Baja",'Administrativo '!#REF!="Menor"),CONCATENATE("R4C",'Administrativo '!#REF!),"")</f>
        <v>#REF!</v>
      </c>
      <c r="U39" s="70" t="e">
        <f>IF(AND('Administrativo '!#REF!="Baja",'Administrativo '!#REF!="Menor"),CONCATENATE("R4C",'Administrativo '!#REF!),"")</f>
        <v>#REF!</v>
      </c>
      <c r="V39" s="68" t="e">
        <f>IF(AND('Administrativo '!#REF!="Baja",'Administrativo '!#REF!="Moderado"),CONCATENATE("R4C",'Administrativo '!#REF!),"")</f>
        <v>#REF!</v>
      </c>
      <c r="W39" s="69" t="e">
        <f>IF(AND('Administrativo '!#REF!="Baja",'Administrativo '!#REF!="Moderado"),CONCATENATE("R4C",'Administrativo '!#REF!),"")</f>
        <v>#REF!</v>
      </c>
      <c r="X39" s="69" t="e">
        <f>IF(AND('Administrativo '!#REF!="Baja",'Administrativo '!#REF!="Moderado"),CONCATENATE("R4C",'Administrativo '!#REF!),"")</f>
        <v>#REF!</v>
      </c>
      <c r="Y39" s="69" t="e">
        <f>IF(AND('Administrativo '!#REF!="Baja",'Administrativo '!#REF!="Moderado"),CONCATENATE("R4C",'Administrativo '!#REF!),"")</f>
        <v>#REF!</v>
      </c>
      <c r="Z39" s="69" t="e">
        <f>IF(AND('Administrativo '!#REF!="Baja",'Administrativo '!#REF!="Moderado"),CONCATENATE("R4C",'Administrativo '!#REF!),"")</f>
        <v>#REF!</v>
      </c>
      <c r="AA39" s="70" t="e">
        <f>IF(AND('Administrativo '!#REF!="Baja",'Administrativo '!#REF!="Moderado"),CONCATENATE("R4C",'Administrativo '!#REF!),"")</f>
        <v>#REF!</v>
      </c>
      <c r="AB39" s="53" t="e">
        <f>IF(AND('Administrativo '!#REF!="Baja",'Administrativo '!#REF!="Mayor"),CONCATENATE("R4C",'Administrativo '!#REF!),"")</f>
        <v>#REF!</v>
      </c>
      <c r="AC39" s="54" t="e">
        <f>IF(AND('Administrativo '!#REF!="Baja",'Administrativo '!#REF!="Mayor"),CONCATENATE("R4C",'Administrativo '!#REF!),"")</f>
        <v>#REF!</v>
      </c>
      <c r="AD39" s="54" t="e">
        <f>IF(AND('Administrativo '!#REF!="Baja",'Administrativo '!#REF!="Mayor"),CONCATENATE("R4C",'Administrativo '!#REF!),"")</f>
        <v>#REF!</v>
      </c>
      <c r="AE39" s="54" t="e">
        <f>IF(AND('Administrativo '!#REF!="Baja",'Administrativo '!#REF!="Mayor"),CONCATENATE("R4C",'Administrativo '!#REF!),"")</f>
        <v>#REF!</v>
      </c>
      <c r="AF39" s="54" t="e">
        <f>IF(AND('Administrativo '!#REF!="Baja",'Administrativo '!#REF!="Mayor"),CONCATENATE("R4C",'Administrativo '!#REF!),"")</f>
        <v>#REF!</v>
      </c>
      <c r="AG39" s="55" t="e">
        <f>IF(AND('Administrativo '!#REF!="Baja",'Administrativo '!#REF!="Mayor"),CONCATENATE("R4C",'Administrativo '!#REF!),"")</f>
        <v>#REF!</v>
      </c>
      <c r="AH39" s="56" t="e">
        <f>IF(AND('Administrativo '!#REF!="Baja",'Administrativo '!#REF!="Catastrófico"),CONCATENATE("R4C",'Administrativo '!#REF!),"")</f>
        <v>#REF!</v>
      </c>
      <c r="AI39" s="57" t="e">
        <f>IF(AND('Administrativo '!#REF!="Baja",'Administrativo '!#REF!="Catastrófico"),CONCATENATE("R4C",'Administrativo '!#REF!),"")</f>
        <v>#REF!</v>
      </c>
      <c r="AJ39" s="57" t="e">
        <f>IF(AND('Administrativo '!#REF!="Baja",'Administrativo '!#REF!="Catastrófico"),CONCATENATE("R4C",'Administrativo '!#REF!),"")</f>
        <v>#REF!</v>
      </c>
      <c r="AK39" s="57" t="e">
        <f>IF(AND('Administrativo '!#REF!="Baja",'Administrativo '!#REF!="Catastrófico"),CONCATENATE("R4C",'Administrativo '!#REF!),"")</f>
        <v>#REF!</v>
      </c>
      <c r="AL39" s="57" t="e">
        <f>IF(AND('Administrativo '!#REF!="Baja",'Administrativo '!#REF!="Catastrófico"),CONCATENATE("R4C",'Administrativo '!#REF!),"")</f>
        <v>#REF!</v>
      </c>
      <c r="AM39" s="58" t="e">
        <f>IF(AND('Administrativo '!#REF!="Baja",'Administrativo '!#REF!="Catastrófico"),CONCATENATE("R4C",'Administrativo '!#REF!),"")</f>
        <v>#REF!</v>
      </c>
      <c r="AN39" s="84"/>
      <c r="AO39" s="433"/>
      <c r="AP39" s="434"/>
      <c r="AQ39" s="434"/>
      <c r="AR39" s="434"/>
      <c r="AS39" s="434"/>
      <c r="AT39" s="435"/>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361"/>
      <c r="C40" s="361"/>
      <c r="D40" s="362"/>
      <c r="E40" s="402"/>
      <c r="F40" s="403"/>
      <c r="G40" s="403"/>
      <c r="H40" s="403"/>
      <c r="I40" s="403"/>
      <c r="J40" s="77" t="e">
        <f>IF(AND('Administrativo '!#REF!="Baja",'Administrativo '!#REF!="Leve"),CONCATENATE("R5C",'Administrativo '!#REF!),"")</f>
        <v>#REF!</v>
      </c>
      <c r="K40" s="78" t="e">
        <f>IF(AND('Administrativo '!#REF!="Baja",'Administrativo '!#REF!="Leve"),CONCATENATE("R5C",'Administrativo '!#REF!),"")</f>
        <v>#REF!</v>
      </c>
      <c r="L40" s="78" t="e">
        <f>IF(AND('Administrativo '!#REF!="Baja",'Administrativo '!#REF!="Leve"),CONCATENATE("R5C",'Administrativo '!#REF!),"")</f>
        <v>#REF!</v>
      </c>
      <c r="M40" s="78" t="e">
        <f>IF(AND('Administrativo '!#REF!="Baja",'Administrativo '!#REF!="Leve"),CONCATENATE("R5C",'Administrativo '!#REF!),"")</f>
        <v>#REF!</v>
      </c>
      <c r="N40" s="78" t="e">
        <f>IF(AND('Administrativo '!#REF!="Baja",'Administrativo '!#REF!="Leve"),CONCATENATE("R5C",'Administrativo '!#REF!),"")</f>
        <v>#REF!</v>
      </c>
      <c r="O40" s="79" t="e">
        <f>IF(AND('Administrativo '!#REF!="Baja",'Administrativo '!#REF!="Leve"),CONCATENATE("R5C",'Administrativo '!#REF!),"")</f>
        <v>#REF!</v>
      </c>
      <c r="P40" s="68" t="e">
        <f>IF(AND('Administrativo '!#REF!="Baja",'Administrativo '!#REF!="Menor"),CONCATENATE("R5C",'Administrativo '!#REF!),"")</f>
        <v>#REF!</v>
      </c>
      <c r="Q40" s="69" t="e">
        <f>IF(AND('Administrativo '!#REF!="Baja",'Administrativo '!#REF!="Menor"),CONCATENATE("R5C",'Administrativo '!#REF!),"")</f>
        <v>#REF!</v>
      </c>
      <c r="R40" s="69" t="e">
        <f>IF(AND('Administrativo '!#REF!="Baja",'Administrativo '!#REF!="Menor"),CONCATENATE("R5C",'Administrativo '!#REF!),"")</f>
        <v>#REF!</v>
      </c>
      <c r="S40" s="69" t="e">
        <f>IF(AND('Administrativo '!#REF!="Baja",'Administrativo '!#REF!="Menor"),CONCATENATE("R5C",'Administrativo '!#REF!),"")</f>
        <v>#REF!</v>
      </c>
      <c r="T40" s="69" t="e">
        <f>IF(AND('Administrativo '!#REF!="Baja",'Administrativo '!#REF!="Menor"),CONCATENATE("R5C",'Administrativo '!#REF!),"")</f>
        <v>#REF!</v>
      </c>
      <c r="U40" s="70" t="e">
        <f>IF(AND('Administrativo '!#REF!="Baja",'Administrativo '!#REF!="Menor"),CONCATENATE("R5C",'Administrativo '!#REF!),"")</f>
        <v>#REF!</v>
      </c>
      <c r="V40" s="68" t="e">
        <f>IF(AND('Administrativo '!#REF!="Baja",'Administrativo '!#REF!="Moderado"),CONCATENATE("R5C",'Administrativo '!#REF!),"")</f>
        <v>#REF!</v>
      </c>
      <c r="W40" s="69" t="e">
        <f>IF(AND('Administrativo '!#REF!="Baja",'Administrativo '!#REF!="Moderado"),CONCATENATE("R5C",'Administrativo '!#REF!),"")</f>
        <v>#REF!</v>
      </c>
      <c r="X40" s="69" t="e">
        <f>IF(AND('Administrativo '!#REF!="Baja",'Administrativo '!#REF!="Moderado"),CONCATENATE("R5C",'Administrativo '!#REF!),"")</f>
        <v>#REF!</v>
      </c>
      <c r="Y40" s="69" t="e">
        <f>IF(AND('Administrativo '!#REF!="Baja",'Administrativo '!#REF!="Moderado"),CONCATENATE("R5C",'Administrativo '!#REF!),"")</f>
        <v>#REF!</v>
      </c>
      <c r="Z40" s="69" t="e">
        <f>IF(AND('Administrativo '!#REF!="Baja",'Administrativo '!#REF!="Moderado"),CONCATENATE("R5C",'Administrativo '!#REF!),"")</f>
        <v>#REF!</v>
      </c>
      <c r="AA40" s="70" t="e">
        <f>IF(AND('Administrativo '!#REF!="Baja",'Administrativo '!#REF!="Moderado"),CONCATENATE("R5C",'Administrativo '!#REF!),"")</f>
        <v>#REF!</v>
      </c>
      <c r="AB40" s="53" t="e">
        <f>IF(AND('Administrativo '!#REF!="Baja",'Administrativo '!#REF!="Mayor"),CONCATENATE("R5C",'Administrativo '!#REF!),"")</f>
        <v>#REF!</v>
      </c>
      <c r="AC40" s="54" t="e">
        <f>IF(AND('Administrativo '!#REF!="Baja",'Administrativo '!#REF!="Mayor"),CONCATENATE("R5C",'Administrativo '!#REF!),"")</f>
        <v>#REF!</v>
      </c>
      <c r="AD40" s="54" t="e">
        <f>IF(AND('Administrativo '!#REF!="Baja",'Administrativo '!#REF!="Mayor"),CONCATENATE("R5C",'Administrativo '!#REF!),"")</f>
        <v>#REF!</v>
      </c>
      <c r="AE40" s="54" t="e">
        <f>IF(AND('Administrativo '!#REF!="Baja",'Administrativo '!#REF!="Mayor"),CONCATENATE("R5C",'Administrativo '!#REF!),"")</f>
        <v>#REF!</v>
      </c>
      <c r="AF40" s="54" t="e">
        <f>IF(AND('Administrativo '!#REF!="Baja",'Administrativo '!#REF!="Mayor"),CONCATENATE("R5C",'Administrativo '!#REF!),"")</f>
        <v>#REF!</v>
      </c>
      <c r="AG40" s="55" t="e">
        <f>IF(AND('Administrativo '!#REF!="Baja",'Administrativo '!#REF!="Mayor"),CONCATENATE("R5C",'Administrativo '!#REF!),"")</f>
        <v>#REF!</v>
      </c>
      <c r="AH40" s="56" t="e">
        <f>IF(AND('Administrativo '!#REF!="Baja",'Administrativo '!#REF!="Catastrófico"),CONCATENATE("R5C",'Administrativo '!#REF!),"")</f>
        <v>#REF!</v>
      </c>
      <c r="AI40" s="57" t="e">
        <f>IF(AND('Administrativo '!#REF!="Baja",'Administrativo '!#REF!="Catastrófico"),CONCATENATE("R5C",'Administrativo '!#REF!),"")</f>
        <v>#REF!</v>
      </c>
      <c r="AJ40" s="57" t="e">
        <f>IF(AND('Administrativo '!#REF!="Baja",'Administrativo '!#REF!="Catastrófico"),CONCATENATE("R5C",'Administrativo '!#REF!),"")</f>
        <v>#REF!</v>
      </c>
      <c r="AK40" s="57" t="e">
        <f>IF(AND('Administrativo '!#REF!="Baja",'Administrativo '!#REF!="Catastrófico"),CONCATENATE("R5C",'Administrativo '!#REF!),"")</f>
        <v>#REF!</v>
      </c>
      <c r="AL40" s="57" t="e">
        <f>IF(AND('Administrativo '!#REF!="Baja",'Administrativo '!#REF!="Catastrófico"),CONCATENATE("R5C",'Administrativo '!#REF!),"")</f>
        <v>#REF!</v>
      </c>
      <c r="AM40" s="58" t="e">
        <f>IF(AND('Administrativo '!#REF!="Baja",'Administrativo '!#REF!="Catastrófico"),CONCATENATE("R5C",'Administrativo '!#REF!),"")</f>
        <v>#REF!</v>
      </c>
      <c r="AN40" s="84"/>
      <c r="AO40" s="433"/>
      <c r="AP40" s="434"/>
      <c r="AQ40" s="434"/>
      <c r="AR40" s="434"/>
      <c r="AS40" s="434"/>
      <c r="AT40" s="435"/>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361"/>
      <c r="C41" s="361"/>
      <c r="D41" s="362"/>
      <c r="E41" s="402"/>
      <c r="F41" s="403"/>
      <c r="G41" s="403"/>
      <c r="H41" s="403"/>
      <c r="I41" s="403"/>
      <c r="J41" s="77" t="e">
        <f>IF(AND('Administrativo '!#REF!="Baja",'Administrativo '!#REF!="Leve"),CONCATENATE("R6C",'Administrativo '!#REF!),"")</f>
        <v>#REF!</v>
      </c>
      <c r="K41" s="78" t="e">
        <f>IF(AND('Administrativo '!#REF!="Baja",'Administrativo '!#REF!="Leve"),CONCATENATE("R6C",'Administrativo '!#REF!),"")</f>
        <v>#REF!</v>
      </c>
      <c r="L41" s="78" t="e">
        <f>IF(AND('Administrativo '!#REF!="Baja",'Administrativo '!#REF!="Leve"),CONCATENATE("R6C",'Administrativo '!#REF!),"")</f>
        <v>#REF!</v>
      </c>
      <c r="M41" s="78" t="e">
        <f>IF(AND('Administrativo '!#REF!="Baja",'Administrativo '!#REF!="Leve"),CONCATENATE("R6C",'Administrativo '!#REF!),"")</f>
        <v>#REF!</v>
      </c>
      <c r="N41" s="78" t="e">
        <f>IF(AND('Administrativo '!#REF!="Baja",'Administrativo '!#REF!="Leve"),CONCATENATE("R6C",'Administrativo '!#REF!),"")</f>
        <v>#REF!</v>
      </c>
      <c r="O41" s="79" t="e">
        <f>IF(AND('Administrativo '!#REF!="Baja",'Administrativo '!#REF!="Leve"),CONCATENATE("R6C",'Administrativo '!#REF!),"")</f>
        <v>#REF!</v>
      </c>
      <c r="P41" s="68" t="e">
        <f>IF(AND('Administrativo '!#REF!="Baja",'Administrativo '!#REF!="Menor"),CONCATENATE("R6C",'Administrativo '!#REF!),"")</f>
        <v>#REF!</v>
      </c>
      <c r="Q41" s="69" t="e">
        <f>IF(AND('Administrativo '!#REF!="Baja",'Administrativo '!#REF!="Menor"),CONCATENATE("R6C",'Administrativo '!#REF!),"")</f>
        <v>#REF!</v>
      </c>
      <c r="R41" s="69" t="e">
        <f>IF(AND('Administrativo '!#REF!="Baja",'Administrativo '!#REF!="Menor"),CONCATENATE("R6C",'Administrativo '!#REF!),"")</f>
        <v>#REF!</v>
      </c>
      <c r="S41" s="69" t="e">
        <f>IF(AND('Administrativo '!#REF!="Baja",'Administrativo '!#REF!="Menor"),CONCATENATE("R6C",'Administrativo '!#REF!),"")</f>
        <v>#REF!</v>
      </c>
      <c r="T41" s="69" t="e">
        <f>IF(AND('Administrativo '!#REF!="Baja",'Administrativo '!#REF!="Menor"),CONCATENATE("R6C",'Administrativo '!#REF!),"")</f>
        <v>#REF!</v>
      </c>
      <c r="U41" s="70" t="e">
        <f>IF(AND('Administrativo '!#REF!="Baja",'Administrativo '!#REF!="Menor"),CONCATENATE("R6C",'Administrativo '!#REF!),"")</f>
        <v>#REF!</v>
      </c>
      <c r="V41" s="68" t="e">
        <f>IF(AND('Administrativo '!#REF!="Baja",'Administrativo '!#REF!="Moderado"),CONCATENATE("R6C",'Administrativo '!#REF!),"")</f>
        <v>#REF!</v>
      </c>
      <c r="W41" s="69" t="e">
        <f>IF(AND('Administrativo '!#REF!="Baja",'Administrativo '!#REF!="Moderado"),CONCATENATE("R6C",'Administrativo '!#REF!),"")</f>
        <v>#REF!</v>
      </c>
      <c r="X41" s="69" t="e">
        <f>IF(AND('Administrativo '!#REF!="Baja",'Administrativo '!#REF!="Moderado"),CONCATENATE("R6C",'Administrativo '!#REF!),"")</f>
        <v>#REF!</v>
      </c>
      <c r="Y41" s="69" t="e">
        <f>IF(AND('Administrativo '!#REF!="Baja",'Administrativo '!#REF!="Moderado"),CONCATENATE("R6C",'Administrativo '!#REF!),"")</f>
        <v>#REF!</v>
      </c>
      <c r="Z41" s="69" t="e">
        <f>IF(AND('Administrativo '!#REF!="Baja",'Administrativo '!#REF!="Moderado"),CONCATENATE("R6C",'Administrativo '!#REF!),"")</f>
        <v>#REF!</v>
      </c>
      <c r="AA41" s="70" t="e">
        <f>IF(AND('Administrativo '!#REF!="Baja",'Administrativo '!#REF!="Moderado"),CONCATENATE("R6C",'Administrativo '!#REF!),"")</f>
        <v>#REF!</v>
      </c>
      <c r="AB41" s="53" t="e">
        <f>IF(AND('Administrativo '!#REF!="Baja",'Administrativo '!#REF!="Mayor"),CONCATENATE("R6C",'Administrativo '!#REF!),"")</f>
        <v>#REF!</v>
      </c>
      <c r="AC41" s="54" t="e">
        <f>IF(AND('Administrativo '!#REF!="Baja",'Administrativo '!#REF!="Mayor"),CONCATENATE("R6C",'Administrativo '!#REF!),"")</f>
        <v>#REF!</v>
      </c>
      <c r="AD41" s="54" t="e">
        <f>IF(AND('Administrativo '!#REF!="Baja",'Administrativo '!#REF!="Mayor"),CONCATENATE("R6C",'Administrativo '!#REF!),"")</f>
        <v>#REF!</v>
      </c>
      <c r="AE41" s="54" t="e">
        <f>IF(AND('Administrativo '!#REF!="Baja",'Administrativo '!#REF!="Mayor"),CONCATENATE("R6C",'Administrativo '!#REF!),"")</f>
        <v>#REF!</v>
      </c>
      <c r="AF41" s="54" t="e">
        <f>IF(AND('Administrativo '!#REF!="Baja",'Administrativo '!#REF!="Mayor"),CONCATENATE("R6C",'Administrativo '!#REF!),"")</f>
        <v>#REF!</v>
      </c>
      <c r="AG41" s="55" t="e">
        <f>IF(AND('Administrativo '!#REF!="Baja",'Administrativo '!#REF!="Mayor"),CONCATENATE("R6C",'Administrativo '!#REF!),"")</f>
        <v>#REF!</v>
      </c>
      <c r="AH41" s="56" t="e">
        <f>IF(AND('Administrativo '!#REF!="Baja",'Administrativo '!#REF!="Catastrófico"),CONCATENATE("R6C",'Administrativo '!#REF!),"")</f>
        <v>#REF!</v>
      </c>
      <c r="AI41" s="57" t="e">
        <f>IF(AND('Administrativo '!#REF!="Baja",'Administrativo '!#REF!="Catastrófico"),CONCATENATE("R6C",'Administrativo '!#REF!),"")</f>
        <v>#REF!</v>
      </c>
      <c r="AJ41" s="57" t="e">
        <f>IF(AND('Administrativo '!#REF!="Baja",'Administrativo '!#REF!="Catastrófico"),CONCATENATE("R6C",'Administrativo '!#REF!),"")</f>
        <v>#REF!</v>
      </c>
      <c r="AK41" s="57" t="e">
        <f>IF(AND('Administrativo '!#REF!="Baja",'Administrativo '!#REF!="Catastrófico"),CONCATENATE("R6C",'Administrativo '!#REF!),"")</f>
        <v>#REF!</v>
      </c>
      <c r="AL41" s="57" t="e">
        <f>IF(AND('Administrativo '!#REF!="Baja",'Administrativo '!#REF!="Catastrófico"),CONCATENATE("R6C",'Administrativo '!#REF!),"")</f>
        <v>#REF!</v>
      </c>
      <c r="AM41" s="58" t="e">
        <f>IF(AND('Administrativo '!#REF!="Baja",'Administrativo '!#REF!="Catastrófico"),CONCATENATE("R6C",'Administrativo '!#REF!),"")</f>
        <v>#REF!</v>
      </c>
      <c r="AN41" s="84"/>
      <c r="AO41" s="433"/>
      <c r="AP41" s="434"/>
      <c r="AQ41" s="434"/>
      <c r="AR41" s="434"/>
      <c r="AS41" s="434"/>
      <c r="AT41" s="435"/>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361"/>
      <c r="C42" s="361"/>
      <c r="D42" s="362"/>
      <c r="E42" s="402"/>
      <c r="F42" s="403"/>
      <c r="G42" s="403"/>
      <c r="H42" s="403"/>
      <c r="I42" s="403"/>
      <c r="J42" s="77" t="e">
        <f>IF(AND('Administrativo '!#REF!="Baja",'Administrativo '!#REF!="Leve"),CONCATENATE("R7C",'Administrativo '!#REF!),"")</f>
        <v>#REF!</v>
      </c>
      <c r="K42" s="78" t="e">
        <f>IF(AND('Administrativo '!#REF!="Baja",'Administrativo '!#REF!="Leve"),CONCATENATE("R7C",'Administrativo '!#REF!),"")</f>
        <v>#REF!</v>
      </c>
      <c r="L42" s="78" t="e">
        <f>IF(AND('Administrativo '!#REF!="Baja",'Administrativo '!#REF!="Leve"),CONCATENATE("R7C",'Administrativo '!#REF!),"")</f>
        <v>#REF!</v>
      </c>
      <c r="M42" s="78" t="e">
        <f>IF(AND('Administrativo '!#REF!="Baja",'Administrativo '!#REF!="Leve"),CONCATENATE("R7C",'Administrativo '!#REF!),"")</f>
        <v>#REF!</v>
      </c>
      <c r="N42" s="78" t="e">
        <f>IF(AND('Administrativo '!#REF!="Baja",'Administrativo '!#REF!="Leve"),CONCATENATE("R7C",'Administrativo '!#REF!),"")</f>
        <v>#REF!</v>
      </c>
      <c r="O42" s="79" t="e">
        <f>IF(AND('Administrativo '!#REF!="Baja",'Administrativo '!#REF!="Leve"),CONCATENATE("R7C",'Administrativo '!#REF!),"")</f>
        <v>#REF!</v>
      </c>
      <c r="P42" s="68" t="e">
        <f>IF(AND('Administrativo '!#REF!="Baja",'Administrativo '!#REF!="Menor"),CONCATENATE("R7C",'Administrativo '!#REF!),"")</f>
        <v>#REF!</v>
      </c>
      <c r="Q42" s="69" t="e">
        <f>IF(AND('Administrativo '!#REF!="Baja",'Administrativo '!#REF!="Menor"),CONCATENATE("R7C",'Administrativo '!#REF!),"")</f>
        <v>#REF!</v>
      </c>
      <c r="R42" s="69" t="e">
        <f>IF(AND('Administrativo '!#REF!="Baja",'Administrativo '!#REF!="Menor"),CONCATENATE("R7C",'Administrativo '!#REF!),"")</f>
        <v>#REF!</v>
      </c>
      <c r="S42" s="69" t="e">
        <f>IF(AND('Administrativo '!#REF!="Baja",'Administrativo '!#REF!="Menor"),CONCATENATE("R7C",'Administrativo '!#REF!),"")</f>
        <v>#REF!</v>
      </c>
      <c r="T42" s="69" t="e">
        <f>IF(AND('Administrativo '!#REF!="Baja",'Administrativo '!#REF!="Menor"),CONCATENATE("R7C",'Administrativo '!#REF!),"")</f>
        <v>#REF!</v>
      </c>
      <c r="U42" s="70" t="e">
        <f>IF(AND('Administrativo '!#REF!="Baja",'Administrativo '!#REF!="Menor"),CONCATENATE("R7C",'Administrativo '!#REF!),"")</f>
        <v>#REF!</v>
      </c>
      <c r="V42" s="68" t="e">
        <f>IF(AND('Administrativo '!#REF!="Baja",'Administrativo '!#REF!="Moderado"),CONCATENATE("R7C",'Administrativo '!#REF!),"")</f>
        <v>#REF!</v>
      </c>
      <c r="W42" s="69" t="e">
        <f>IF(AND('Administrativo '!#REF!="Baja",'Administrativo '!#REF!="Moderado"),CONCATENATE("R7C",'Administrativo '!#REF!),"")</f>
        <v>#REF!</v>
      </c>
      <c r="X42" s="69" t="e">
        <f>IF(AND('Administrativo '!#REF!="Baja",'Administrativo '!#REF!="Moderado"),CONCATENATE("R7C",'Administrativo '!#REF!),"")</f>
        <v>#REF!</v>
      </c>
      <c r="Y42" s="69" t="e">
        <f>IF(AND('Administrativo '!#REF!="Baja",'Administrativo '!#REF!="Moderado"),CONCATENATE("R7C",'Administrativo '!#REF!),"")</f>
        <v>#REF!</v>
      </c>
      <c r="Z42" s="69" t="e">
        <f>IF(AND('Administrativo '!#REF!="Baja",'Administrativo '!#REF!="Moderado"),CONCATENATE("R7C",'Administrativo '!#REF!),"")</f>
        <v>#REF!</v>
      </c>
      <c r="AA42" s="70" t="e">
        <f>IF(AND('Administrativo '!#REF!="Baja",'Administrativo '!#REF!="Moderado"),CONCATENATE("R7C",'Administrativo '!#REF!),"")</f>
        <v>#REF!</v>
      </c>
      <c r="AB42" s="53" t="e">
        <f>IF(AND('Administrativo '!#REF!="Baja",'Administrativo '!#REF!="Mayor"),CONCATENATE("R7C",'Administrativo '!#REF!),"")</f>
        <v>#REF!</v>
      </c>
      <c r="AC42" s="54" t="e">
        <f>IF(AND('Administrativo '!#REF!="Baja",'Administrativo '!#REF!="Mayor"),CONCATENATE("R7C",'Administrativo '!#REF!),"")</f>
        <v>#REF!</v>
      </c>
      <c r="AD42" s="54" t="e">
        <f>IF(AND('Administrativo '!#REF!="Baja",'Administrativo '!#REF!="Mayor"),CONCATENATE("R7C",'Administrativo '!#REF!),"")</f>
        <v>#REF!</v>
      </c>
      <c r="AE42" s="54" t="e">
        <f>IF(AND('Administrativo '!#REF!="Baja",'Administrativo '!#REF!="Mayor"),CONCATENATE("R7C",'Administrativo '!#REF!),"")</f>
        <v>#REF!</v>
      </c>
      <c r="AF42" s="54" t="e">
        <f>IF(AND('Administrativo '!#REF!="Baja",'Administrativo '!#REF!="Mayor"),CONCATENATE("R7C",'Administrativo '!#REF!),"")</f>
        <v>#REF!</v>
      </c>
      <c r="AG42" s="55" t="e">
        <f>IF(AND('Administrativo '!#REF!="Baja",'Administrativo '!#REF!="Mayor"),CONCATENATE("R7C",'Administrativo '!#REF!),"")</f>
        <v>#REF!</v>
      </c>
      <c r="AH42" s="56" t="e">
        <f>IF(AND('Administrativo '!#REF!="Baja",'Administrativo '!#REF!="Catastrófico"),CONCATENATE("R7C",'Administrativo '!#REF!),"")</f>
        <v>#REF!</v>
      </c>
      <c r="AI42" s="57" t="e">
        <f>IF(AND('Administrativo '!#REF!="Baja",'Administrativo '!#REF!="Catastrófico"),CONCATENATE("R7C",'Administrativo '!#REF!),"")</f>
        <v>#REF!</v>
      </c>
      <c r="AJ42" s="57" t="e">
        <f>IF(AND('Administrativo '!#REF!="Baja",'Administrativo '!#REF!="Catastrófico"),CONCATENATE("R7C",'Administrativo '!#REF!),"")</f>
        <v>#REF!</v>
      </c>
      <c r="AK42" s="57" t="e">
        <f>IF(AND('Administrativo '!#REF!="Baja",'Administrativo '!#REF!="Catastrófico"),CONCATENATE("R7C",'Administrativo '!#REF!),"")</f>
        <v>#REF!</v>
      </c>
      <c r="AL42" s="57" t="e">
        <f>IF(AND('Administrativo '!#REF!="Baja",'Administrativo '!#REF!="Catastrófico"),CONCATENATE("R7C",'Administrativo '!#REF!),"")</f>
        <v>#REF!</v>
      </c>
      <c r="AM42" s="58" t="e">
        <f>IF(AND('Administrativo '!#REF!="Baja",'Administrativo '!#REF!="Catastrófico"),CONCATENATE("R7C",'Administrativo '!#REF!),"")</f>
        <v>#REF!</v>
      </c>
      <c r="AN42" s="84"/>
      <c r="AO42" s="433"/>
      <c r="AP42" s="434"/>
      <c r="AQ42" s="434"/>
      <c r="AR42" s="434"/>
      <c r="AS42" s="434"/>
      <c r="AT42" s="435"/>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361"/>
      <c r="C43" s="361"/>
      <c r="D43" s="362"/>
      <c r="E43" s="402"/>
      <c r="F43" s="403"/>
      <c r="G43" s="403"/>
      <c r="H43" s="403"/>
      <c r="I43" s="403"/>
      <c r="J43" s="77" t="e">
        <f>IF(AND('Administrativo '!#REF!="Baja",'Administrativo '!#REF!="Leve"),CONCATENATE("R8C",'Administrativo '!#REF!),"")</f>
        <v>#REF!</v>
      </c>
      <c r="K43" s="78" t="e">
        <f>IF(AND('Administrativo '!#REF!="Baja",'Administrativo '!#REF!="Leve"),CONCATENATE("R8C",'Administrativo '!#REF!),"")</f>
        <v>#REF!</v>
      </c>
      <c r="L43" s="78" t="e">
        <f>IF(AND('Administrativo '!#REF!="Baja",'Administrativo '!#REF!="Leve"),CONCATENATE("R8C",'Administrativo '!#REF!),"")</f>
        <v>#REF!</v>
      </c>
      <c r="M43" s="78" t="e">
        <f>IF(AND('Administrativo '!#REF!="Baja",'Administrativo '!#REF!="Leve"),CONCATENATE("R8C",'Administrativo '!#REF!),"")</f>
        <v>#REF!</v>
      </c>
      <c r="N43" s="78" t="e">
        <f>IF(AND('Administrativo '!#REF!="Baja",'Administrativo '!#REF!="Leve"),CONCATENATE("R8C",'Administrativo '!#REF!),"")</f>
        <v>#REF!</v>
      </c>
      <c r="O43" s="79" t="e">
        <f>IF(AND('Administrativo '!#REF!="Baja",'Administrativo '!#REF!="Leve"),CONCATENATE("R8C",'Administrativo '!#REF!),"")</f>
        <v>#REF!</v>
      </c>
      <c r="P43" s="68" t="e">
        <f>IF(AND('Administrativo '!#REF!="Baja",'Administrativo '!#REF!="Menor"),CONCATENATE("R8C",'Administrativo '!#REF!),"")</f>
        <v>#REF!</v>
      </c>
      <c r="Q43" s="69" t="e">
        <f>IF(AND('Administrativo '!#REF!="Baja",'Administrativo '!#REF!="Menor"),CONCATENATE("R8C",'Administrativo '!#REF!),"")</f>
        <v>#REF!</v>
      </c>
      <c r="R43" s="69" t="e">
        <f>IF(AND('Administrativo '!#REF!="Baja",'Administrativo '!#REF!="Menor"),CONCATENATE("R8C",'Administrativo '!#REF!),"")</f>
        <v>#REF!</v>
      </c>
      <c r="S43" s="69" t="e">
        <f>IF(AND('Administrativo '!#REF!="Baja",'Administrativo '!#REF!="Menor"),CONCATENATE("R8C",'Administrativo '!#REF!),"")</f>
        <v>#REF!</v>
      </c>
      <c r="T43" s="69" t="e">
        <f>IF(AND('Administrativo '!#REF!="Baja",'Administrativo '!#REF!="Menor"),CONCATENATE("R8C",'Administrativo '!#REF!),"")</f>
        <v>#REF!</v>
      </c>
      <c r="U43" s="70" t="e">
        <f>IF(AND('Administrativo '!#REF!="Baja",'Administrativo '!#REF!="Menor"),CONCATENATE("R8C",'Administrativo '!#REF!),"")</f>
        <v>#REF!</v>
      </c>
      <c r="V43" s="68" t="e">
        <f>IF(AND('Administrativo '!#REF!="Baja",'Administrativo '!#REF!="Moderado"),CONCATENATE("R8C",'Administrativo '!#REF!),"")</f>
        <v>#REF!</v>
      </c>
      <c r="W43" s="69" t="e">
        <f>IF(AND('Administrativo '!#REF!="Baja",'Administrativo '!#REF!="Moderado"),CONCATENATE("R8C",'Administrativo '!#REF!),"")</f>
        <v>#REF!</v>
      </c>
      <c r="X43" s="69" t="e">
        <f>IF(AND('Administrativo '!#REF!="Baja",'Administrativo '!#REF!="Moderado"),CONCATENATE("R8C",'Administrativo '!#REF!),"")</f>
        <v>#REF!</v>
      </c>
      <c r="Y43" s="69" t="e">
        <f>IF(AND('Administrativo '!#REF!="Baja",'Administrativo '!#REF!="Moderado"),CONCATENATE("R8C",'Administrativo '!#REF!),"")</f>
        <v>#REF!</v>
      </c>
      <c r="Z43" s="69" t="e">
        <f>IF(AND('Administrativo '!#REF!="Baja",'Administrativo '!#REF!="Moderado"),CONCATENATE("R8C",'Administrativo '!#REF!),"")</f>
        <v>#REF!</v>
      </c>
      <c r="AA43" s="70" t="e">
        <f>IF(AND('Administrativo '!#REF!="Baja",'Administrativo '!#REF!="Moderado"),CONCATENATE("R8C",'Administrativo '!#REF!),"")</f>
        <v>#REF!</v>
      </c>
      <c r="AB43" s="53" t="e">
        <f>IF(AND('Administrativo '!#REF!="Baja",'Administrativo '!#REF!="Mayor"),CONCATENATE("R8C",'Administrativo '!#REF!),"")</f>
        <v>#REF!</v>
      </c>
      <c r="AC43" s="54" t="e">
        <f>IF(AND('Administrativo '!#REF!="Baja",'Administrativo '!#REF!="Mayor"),CONCATENATE("R8C",'Administrativo '!#REF!),"")</f>
        <v>#REF!</v>
      </c>
      <c r="AD43" s="54" t="e">
        <f>IF(AND('Administrativo '!#REF!="Baja",'Administrativo '!#REF!="Mayor"),CONCATENATE("R8C",'Administrativo '!#REF!),"")</f>
        <v>#REF!</v>
      </c>
      <c r="AE43" s="54" t="e">
        <f>IF(AND('Administrativo '!#REF!="Baja",'Administrativo '!#REF!="Mayor"),CONCATENATE("R8C",'Administrativo '!#REF!),"")</f>
        <v>#REF!</v>
      </c>
      <c r="AF43" s="54" t="e">
        <f>IF(AND('Administrativo '!#REF!="Baja",'Administrativo '!#REF!="Mayor"),CONCATENATE("R8C",'Administrativo '!#REF!),"")</f>
        <v>#REF!</v>
      </c>
      <c r="AG43" s="55" t="e">
        <f>IF(AND('Administrativo '!#REF!="Baja",'Administrativo '!#REF!="Mayor"),CONCATENATE("R8C",'Administrativo '!#REF!),"")</f>
        <v>#REF!</v>
      </c>
      <c r="AH43" s="56" t="e">
        <f>IF(AND('Administrativo '!#REF!="Baja",'Administrativo '!#REF!="Catastrófico"),CONCATENATE("R8C",'Administrativo '!#REF!),"")</f>
        <v>#REF!</v>
      </c>
      <c r="AI43" s="57" t="e">
        <f>IF(AND('Administrativo '!#REF!="Baja",'Administrativo '!#REF!="Catastrófico"),CONCATENATE("R8C",'Administrativo '!#REF!),"")</f>
        <v>#REF!</v>
      </c>
      <c r="AJ43" s="57" t="e">
        <f>IF(AND('Administrativo '!#REF!="Baja",'Administrativo '!#REF!="Catastrófico"),CONCATENATE("R8C",'Administrativo '!#REF!),"")</f>
        <v>#REF!</v>
      </c>
      <c r="AK43" s="57" t="e">
        <f>IF(AND('Administrativo '!#REF!="Baja",'Administrativo '!#REF!="Catastrófico"),CONCATENATE("R8C",'Administrativo '!#REF!),"")</f>
        <v>#REF!</v>
      </c>
      <c r="AL43" s="57" t="e">
        <f>IF(AND('Administrativo '!#REF!="Baja",'Administrativo '!#REF!="Catastrófico"),CONCATENATE("R8C",'Administrativo '!#REF!),"")</f>
        <v>#REF!</v>
      </c>
      <c r="AM43" s="58" t="e">
        <f>IF(AND('Administrativo '!#REF!="Baja",'Administrativo '!#REF!="Catastrófico"),CONCATENATE("R8C",'Administrativo '!#REF!),"")</f>
        <v>#REF!</v>
      </c>
      <c r="AN43" s="84"/>
      <c r="AO43" s="433"/>
      <c r="AP43" s="434"/>
      <c r="AQ43" s="434"/>
      <c r="AR43" s="434"/>
      <c r="AS43" s="434"/>
      <c r="AT43" s="435"/>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361"/>
      <c r="C44" s="361"/>
      <c r="D44" s="362"/>
      <c r="E44" s="402"/>
      <c r="F44" s="403"/>
      <c r="G44" s="403"/>
      <c r="H44" s="403"/>
      <c r="I44" s="403"/>
      <c r="J44" s="77" t="e">
        <f>IF(AND('Administrativo '!#REF!="Baja",'Administrativo '!#REF!="Leve"),CONCATENATE("R9C",'Administrativo '!#REF!),"")</f>
        <v>#REF!</v>
      </c>
      <c r="K44" s="78" t="e">
        <f>IF(AND('Administrativo '!#REF!="Baja",'Administrativo '!#REF!="Leve"),CONCATENATE("R9C",'Administrativo '!#REF!),"")</f>
        <v>#REF!</v>
      </c>
      <c r="L44" s="78" t="e">
        <f>IF(AND('Administrativo '!#REF!="Baja",'Administrativo '!#REF!="Leve"),CONCATENATE("R9C",'Administrativo '!#REF!),"")</f>
        <v>#REF!</v>
      </c>
      <c r="M44" s="78" t="e">
        <f>IF(AND('Administrativo '!#REF!="Baja",'Administrativo '!#REF!="Leve"),CONCATENATE("R9C",'Administrativo '!#REF!),"")</f>
        <v>#REF!</v>
      </c>
      <c r="N44" s="78" t="e">
        <f>IF(AND('Administrativo '!#REF!="Baja",'Administrativo '!#REF!="Leve"),CONCATENATE("R9C",'Administrativo '!#REF!),"")</f>
        <v>#REF!</v>
      </c>
      <c r="O44" s="79" t="e">
        <f>IF(AND('Administrativo '!#REF!="Baja",'Administrativo '!#REF!="Leve"),CONCATENATE("R9C",'Administrativo '!#REF!),"")</f>
        <v>#REF!</v>
      </c>
      <c r="P44" s="68" t="e">
        <f>IF(AND('Administrativo '!#REF!="Baja",'Administrativo '!#REF!="Menor"),CONCATENATE("R9C",'Administrativo '!#REF!),"")</f>
        <v>#REF!</v>
      </c>
      <c r="Q44" s="69" t="e">
        <f>IF(AND('Administrativo '!#REF!="Baja",'Administrativo '!#REF!="Menor"),CONCATENATE("R9C",'Administrativo '!#REF!),"")</f>
        <v>#REF!</v>
      </c>
      <c r="R44" s="69" t="e">
        <f>IF(AND('Administrativo '!#REF!="Baja",'Administrativo '!#REF!="Menor"),CONCATENATE("R9C",'Administrativo '!#REF!),"")</f>
        <v>#REF!</v>
      </c>
      <c r="S44" s="69" t="e">
        <f>IF(AND('Administrativo '!#REF!="Baja",'Administrativo '!#REF!="Menor"),CONCATENATE("R9C",'Administrativo '!#REF!),"")</f>
        <v>#REF!</v>
      </c>
      <c r="T44" s="69" t="e">
        <f>IF(AND('Administrativo '!#REF!="Baja",'Administrativo '!#REF!="Menor"),CONCATENATE("R9C",'Administrativo '!#REF!),"")</f>
        <v>#REF!</v>
      </c>
      <c r="U44" s="70" t="e">
        <f>IF(AND('Administrativo '!#REF!="Baja",'Administrativo '!#REF!="Menor"),CONCATENATE("R9C",'Administrativo '!#REF!),"")</f>
        <v>#REF!</v>
      </c>
      <c r="V44" s="68" t="e">
        <f>IF(AND('Administrativo '!#REF!="Baja",'Administrativo '!#REF!="Moderado"),CONCATENATE("R9C",'Administrativo '!#REF!),"")</f>
        <v>#REF!</v>
      </c>
      <c r="W44" s="69" t="e">
        <f>IF(AND('Administrativo '!#REF!="Baja",'Administrativo '!#REF!="Moderado"),CONCATENATE("R9C",'Administrativo '!#REF!),"")</f>
        <v>#REF!</v>
      </c>
      <c r="X44" s="69" t="e">
        <f>IF(AND('Administrativo '!#REF!="Baja",'Administrativo '!#REF!="Moderado"),CONCATENATE("R9C",'Administrativo '!#REF!),"")</f>
        <v>#REF!</v>
      </c>
      <c r="Y44" s="69" t="e">
        <f>IF(AND('Administrativo '!#REF!="Baja",'Administrativo '!#REF!="Moderado"),CONCATENATE("R9C",'Administrativo '!#REF!),"")</f>
        <v>#REF!</v>
      </c>
      <c r="Z44" s="69" t="e">
        <f>IF(AND('Administrativo '!#REF!="Baja",'Administrativo '!#REF!="Moderado"),CONCATENATE("R9C",'Administrativo '!#REF!),"")</f>
        <v>#REF!</v>
      </c>
      <c r="AA44" s="70" t="e">
        <f>IF(AND('Administrativo '!#REF!="Baja",'Administrativo '!#REF!="Moderado"),CONCATENATE("R9C",'Administrativo '!#REF!),"")</f>
        <v>#REF!</v>
      </c>
      <c r="AB44" s="53" t="e">
        <f>IF(AND('Administrativo '!#REF!="Baja",'Administrativo '!#REF!="Mayor"),CONCATENATE("R9C",'Administrativo '!#REF!),"")</f>
        <v>#REF!</v>
      </c>
      <c r="AC44" s="54" t="e">
        <f>IF(AND('Administrativo '!#REF!="Baja",'Administrativo '!#REF!="Mayor"),CONCATENATE("R9C",'Administrativo '!#REF!),"")</f>
        <v>#REF!</v>
      </c>
      <c r="AD44" s="54" t="e">
        <f>IF(AND('Administrativo '!#REF!="Baja",'Administrativo '!#REF!="Mayor"),CONCATENATE("R9C",'Administrativo '!#REF!),"")</f>
        <v>#REF!</v>
      </c>
      <c r="AE44" s="54" t="e">
        <f>IF(AND('Administrativo '!#REF!="Baja",'Administrativo '!#REF!="Mayor"),CONCATENATE("R9C",'Administrativo '!#REF!),"")</f>
        <v>#REF!</v>
      </c>
      <c r="AF44" s="54" t="e">
        <f>IF(AND('Administrativo '!#REF!="Baja",'Administrativo '!#REF!="Mayor"),CONCATENATE("R9C",'Administrativo '!#REF!),"")</f>
        <v>#REF!</v>
      </c>
      <c r="AG44" s="55" t="e">
        <f>IF(AND('Administrativo '!#REF!="Baja",'Administrativo '!#REF!="Mayor"),CONCATENATE("R9C",'Administrativo '!#REF!),"")</f>
        <v>#REF!</v>
      </c>
      <c r="AH44" s="56" t="e">
        <f>IF(AND('Administrativo '!#REF!="Baja",'Administrativo '!#REF!="Catastrófico"),CONCATENATE("R9C",'Administrativo '!#REF!),"")</f>
        <v>#REF!</v>
      </c>
      <c r="AI44" s="57" t="e">
        <f>IF(AND('Administrativo '!#REF!="Baja",'Administrativo '!#REF!="Catastrófico"),CONCATENATE("R9C",'Administrativo '!#REF!),"")</f>
        <v>#REF!</v>
      </c>
      <c r="AJ44" s="57" t="e">
        <f>IF(AND('Administrativo '!#REF!="Baja",'Administrativo '!#REF!="Catastrófico"),CONCATENATE("R9C",'Administrativo '!#REF!),"")</f>
        <v>#REF!</v>
      </c>
      <c r="AK44" s="57" t="e">
        <f>IF(AND('Administrativo '!#REF!="Baja",'Administrativo '!#REF!="Catastrófico"),CONCATENATE("R9C",'Administrativo '!#REF!),"")</f>
        <v>#REF!</v>
      </c>
      <c r="AL44" s="57" t="e">
        <f>IF(AND('Administrativo '!#REF!="Baja",'Administrativo '!#REF!="Catastrófico"),CONCATENATE("R9C",'Administrativo '!#REF!),"")</f>
        <v>#REF!</v>
      </c>
      <c r="AM44" s="58" t="e">
        <f>IF(AND('Administrativo '!#REF!="Baja",'Administrativo '!#REF!="Catastrófico"),CONCATENATE("R9C",'Administrativo '!#REF!),"")</f>
        <v>#REF!</v>
      </c>
      <c r="AN44" s="84"/>
      <c r="AO44" s="433"/>
      <c r="AP44" s="434"/>
      <c r="AQ44" s="434"/>
      <c r="AR44" s="434"/>
      <c r="AS44" s="434"/>
      <c r="AT44" s="435"/>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361"/>
      <c r="C45" s="361"/>
      <c r="D45" s="362"/>
      <c r="E45" s="405"/>
      <c r="F45" s="406"/>
      <c r="G45" s="406"/>
      <c r="H45" s="406"/>
      <c r="I45" s="406"/>
      <c r="J45" s="80" t="e">
        <f>IF(AND('Administrativo '!#REF!="Baja",'Administrativo '!#REF!="Leve"),CONCATENATE("R10C",'Administrativo '!#REF!),"")</f>
        <v>#REF!</v>
      </c>
      <c r="K45" s="81" t="e">
        <f>IF(AND('Administrativo '!#REF!="Baja",'Administrativo '!#REF!="Leve"),CONCATENATE("R10C",'Administrativo '!#REF!),"")</f>
        <v>#REF!</v>
      </c>
      <c r="L45" s="81" t="e">
        <f>IF(AND('Administrativo '!#REF!="Baja",'Administrativo '!#REF!="Leve"),CONCATENATE("R10C",'Administrativo '!#REF!),"")</f>
        <v>#REF!</v>
      </c>
      <c r="M45" s="81" t="e">
        <f>IF(AND('Administrativo '!#REF!="Baja",'Administrativo '!#REF!="Leve"),CONCATENATE("R10C",'Administrativo '!#REF!),"")</f>
        <v>#REF!</v>
      </c>
      <c r="N45" s="81" t="e">
        <f>IF(AND('Administrativo '!#REF!="Baja",'Administrativo '!#REF!="Leve"),CONCATENATE("R10C",'Administrativo '!#REF!),"")</f>
        <v>#REF!</v>
      </c>
      <c r="O45" s="82" t="e">
        <f>IF(AND('Administrativo '!#REF!="Baja",'Administrativo '!#REF!="Leve"),CONCATENATE("R10C",'Administrativo '!#REF!),"")</f>
        <v>#REF!</v>
      </c>
      <c r="P45" s="68" t="e">
        <f>IF(AND('Administrativo '!#REF!="Baja",'Administrativo '!#REF!="Menor"),CONCATENATE("R10C",'Administrativo '!#REF!),"")</f>
        <v>#REF!</v>
      </c>
      <c r="Q45" s="69" t="e">
        <f>IF(AND('Administrativo '!#REF!="Baja",'Administrativo '!#REF!="Menor"),CONCATENATE("R10C",'Administrativo '!#REF!),"")</f>
        <v>#REF!</v>
      </c>
      <c r="R45" s="69" t="e">
        <f>IF(AND('Administrativo '!#REF!="Baja",'Administrativo '!#REF!="Menor"),CONCATENATE("R10C",'Administrativo '!#REF!),"")</f>
        <v>#REF!</v>
      </c>
      <c r="S45" s="69" t="e">
        <f>IF(AND('Administrativo '!#REF!="Baja",'Administrativo '!#REF!="Menor"),CONCATENATE("R10C",'Administrativo '!#REF!),"")</f>
        <v>#REF!</v>
      </c>
      <c r="T45" s="69" t="e">
        <f>IF(AND('Administrativo '!#REF!="Baja",'Administrativo '!#REF!="Menor"),CONCATENATE("R10C",'Administrativo '!#REF!),"")</f>
        <v>#REF!</v>
      </c>
      <c r="U45" s="70" t="e">
        <f>IF(AND('Administrativo '!#REF!="Baja",'Administrativo '!#REF!="Menor"),CONCATENATE("R10C",'Administrativo '!#REF!),"")</f>
        <v>#REF!</v>
      </c>
      <c r="V45" s="71" t="e">
        <f>IF(AND('Administrativo '!#REF!="Baja",'Administrativo '!#REF!="Moderado"),CONCATENATE("R10C",'Administrativo '!#REF!),"")</f>
        <v>#REF!</v>
      </c>
      <c r="W45" s="72" t="e">
        <f>IF(AND('Administrativo '!#REF!="Baja",'Administrativo '!#REF!="Moderado"),CONCATENATE("R10C",'Administrativo '!#REF!),"")</f>
        <v>#REF!</v>
      </c>
      <c r="X45" s="72" t="e">
        <f>IF(AND('Administrativo '!#REF!="Baja",'Administrativo '!#REF!="Moderado"),CONCATENATE("R10C",'Administrativo '!#REF!),"")</f>
        <v>#REF!</v>
      </c>
      <c r="Y45" s="72" t="e">
        <f>IF(AND('Administrativo '!#REF!="Baja",'Administrativo '!#REF!="Moderado"),CONCATENATE("R10C",'Administrativo '!#REF!),"")</f>
        <v>#REF!</v>
      </c>
      <c r="Z45" s="72" t="e">
        <f>IF(AND('Administrativo '!#REF!="Baja",'Administrativo '!#REF!="Moderado"),CONCATENATE("R10C",'Administrativo '!#REF!),"")</f>
        <v>#REF!</v>
      </c>
      <c r="AA45" s="73" t="e">
        <f>IF(AND('Administrativo '!#REF!="Baja",'Administrativo '!#REF!="Moderado"),CONCATENATE("R10C",'Administrativo '!#REF!),"")</f>
        <v>#REF!</v>
      </c>
      <c r="AB45" s="59" t="e">
        <f>IF(AND('Administrativo '!#REF!="Baja",'Administrativo '!#REF!="Mayor"),CONCATENATE("R10C",'Administrativo '!#REF!),"")</f>
        <v>#REF!</v>
      </c>
      <c r="AC45" s="60" t="e">
        <f>IF(AND('Administrativo '!#REF!="Baja",'Administrativo '!#REF!="Mayor"),CONCATENATE("R10C",'Administrativo '!#REF!),"")</f>
        <v>#REF!</v>
      </c>
      <c r="AD45" s="60" t="e">
        <f>IF(AND('Administrativo '!#REF!="Baja",'Administrativo '!#REF!="Mayor"),CONCATENATE("R10C",'Administrativo '!#REF!),"")</f>
        <v>#REF!</v>
      </c>
      <c r="AE45" s="60" t="e">
        <f>IF(AND('Administrativo '!#REF!="Baja",'Administrativo '!#REF!="Mayor"),CONCATENATE("R10C",'Administrativo '!#REF!),"")</f>
        <v>#REF!</v>
      </c>
      <c r="AF45" s="60" t="e">
        <f>IF(AND('Administrativo '!#REF!="Baja",'Administrativo '!#REF!="Mayor"),CONCATENATE("R10C",'Administrativo '!#REF!),"")</f>
        <v>#REF!</v>
      </c>
      <c r="AG45" s="61" t="e">
        <f>IF(AND('Administrativo '!#REF!="Baja",'Administrativo '!#REF!="Mayor"),CONCATENATE("R10C",'Administrativo '!#REF!),"")</f>
        <v>#REF!</v>
      </c>
      <c r="AH45" s="62" t="e">
        <f>IF(AND('Administrativo '!#REF!="Baja",'Administrativo '!#REF!="Catastrófico"),CONCATENATE("R10C",'Administrativo '!#REF!),"")</f>
        <v>#REF!</v>
      </c>
      <c r="AI45" s="63" t="e">
        <f>IF(AND('Administrativo '!#REF!="Baja",'Administrativo '!#REF!="Catastrófico"),CONCATENATE("R10C",'Administrativo '!#REF!),"")</f>
        <v>#REF!</v>
      </c>
      <c r="AJ45" s="63" t="e">
        <f>IF(AND('Administrativo '!#REF!="Baja",'Administrativo '!#REF!="Catastrófico"),CONCATENATE("R10C",'Administrativo '!#REF!),"")</f>
        <v>#REF!</v>
      </c>
      <c r="AK45" s="63" t="e">
        <f>IF(AND('Administrativo '!#REF!="Baja",'Administrativo '!#REF!="Catastrófico"),CONCATENATE("R10C",'Administrativo '!#REF!),"")</f>
        <v>#REF!</v>
      </c>
      <c r="AL45" s="63" t="e">
        <f>IF(AND('Administrativo '!#REF!="Baja",'Administrativo '!#REF!="Catastrófico"),CONCATENATE("R10C",'Administrativo '!#REF!),"")</f>
        <v>#REF!</v>
      </c>
      <c r="AM45" s="64" t="e">
        <f>IF(AND('Administrativo '!#REF!="Baja",'Administrativo '!#REF!="Catastrófico"),CONCATENATE("R10C",'Administrativo '!#REF!),"")</f>
        <v>#REF!</v>
      </c>
      <c r="AN45" s="84"/>
      <c r="AO45" s="436"/>
      <c r="AP45" s="437"/>
      <c r="AQ45" s="437"/>
      <c r="AR45" s="437"/>
      <c r="AS45" s="437"/>
      <c r="AT45" s="438"/>
    </row>
    <row r="46" spans="1:80" ht="46.5" customHeight="1" x14ac:dyDescent="0.35">
      <c r="A46" s="84"/>
      <c r="B46" s="361"/>
      <c r="C46" s="361"/>
      <c r="D46" s="362"/>
      <c r="E46" s="399" t="s">
        <v>123</v>
      </c>
      <c r="F46" s="400"/>
      <c r="G46" s="400"/>
      <c r="H46" s="400"/>
      <c r="I46" s="401"/>
      <c r="J46" s="74" t="str">
        <f ca="1">IF(AND('Administrativo '!$Y$10="Muy Baja",'Administrativo '!$AA$10="Leve"),CONCATENATE("R1C",'Administrativo '!$O$10),"")</f>
        <v/>
      </c>
      <c r="K46" s="75" t="str">
        <f ca="1">IF(AND('Administrativo '!$Y$11="Muy Baja",'Administrativo '!$AA$11="Leve"),CONCATENATE("R1C",'Administrativo '!$O$11),"")</f>
        <v>R1C2</v>
      </c>
      <c r="L46" s="75" t="e">
        <f>IF(AND('Administrativo '!#REF!="Muy Baja",'Administrativo '!#REF!="Leve"),CONCATENATE("R1C",'Administrativo '!#REF!),"")</f>
        <v>#REF!</v>
      </c>
      <c r="M46" s="75" t="e">
        <f>IF(AND('Administrativo '!#REF!="Muy Baja",'Administrativo '!#REF!="Leve"),CONCATENATE("R1C",'Administrativo '!#REF!),"")</f>
        <v>#REF!</v>
      </c>
      <c r="N46" s="75" t="e">
        <f>IF(AND('Administrativo '!#REF!="Muy Baja",'Administrativo '!#REF!="Leve"),CONCATENATE("R1C",'Administrativo '!#REF!),"")</f>
        <v>#REF!</v>
      </c>
      <c r="O46" s="76" t="e">
        <f>IF(AND('Administrativo '!#REF!="Muy Baja",'Administrativo '!#REF!="Leve"),CONCATENATE("R1C",'Administrativo '!#REF!),"")</f>
        <v>#REF!</v>
      </c>
      <c r="P46" s="74" t="str">
        <f ca="1">IF(AND('Administrativo '!$Y$10="Muy Baja",'Administrativo '!$AA$10="Menor"),CONCATENATE("R1C",'Administrativo '!$O$10),"")</f>
        <v/>
      </c>
      <c r="Q46" s="75" t="str">
        <f ca="1">IF(AND('Administrativo '!$Y$11="Muy Baja",'Administrativo '!$AA$11="Menor"),CONCATENATE("R1C",'Administrativo '!$O$11),"")</f>
        <v/>
      </c>
      <c r="R46" s="75" t="e">
        <f>IF(AND('Administrativo '!#REF!="Muy Baja",'Administrativo '!#REF!="Menor"),CONCATENATE("R1C",'Administrativo '!#REF!),"")</f>
        <v>#REF!</v>
      </c>
      <c r="S46" s="75" t="e">
        <f>IF(AND('Administrativo '!#REF!="Muy Baja",'Administrativo '!#REF!="Menor"),CONCATENATE("R1C",'Administrativo '!#REF!),"")</f>
        <v>#REF!</v>
      </c>
      <c r="T46" s="75" t="e">
        <f>IF(AND('Administrativo '!#REF!="Muy Baja",'Administrativo '!#REF!="Menor"),CONCATENATE("R1C",'Administrativo '!#REF!),"")</f>
        <v>#REF!</v>
      </c>
      <c r="U46" s="76" t="e">
        <f>IF(AND('Administrativo '!#REF!="Muy Baja",'Administrativo '!#REF!="Menor"),CONCATENATE("R1C",'Administrativo '!#REF!),"")</f>
        <v>#REF!</v>
      </c>
      <c r="V46" s="65" t="str">
        <f ca="1">IF(AND('Administrativo '!$Y$10="Muy Baja",'Administrativo '!$AA$10="Moderado"),CONCATENATE("R1C",'Administrativo '!$O$10),"")</f>
        <v/>
      </c>
      <c r="W46" s="83" t="str">
        <f ca="1">IF(AND('Administrativo '!$Y$11="Muy Baja",'Administrativo '!$AA$11="Moderado"),CONCATENATE("R1C",'Administrativo '!$O$11),"")</f>
        <v/>
      </c>
      <c r="X46" s="66" t="e">
        <f>IF(AND('Administrativo '!#REF!="Muy Baja",'Administrativo '!#REF!="Moderado"),CONCATENATE("R1C",'Administrativo '!#REF!),"")</f>
        <v>#REF!</v>
      </c>
      <c r="Y46" s="66" t="e">
        <f>IF(AND('Administrativo '!#REF!="Muy Baja",'Administrativo '!#REF!="Moderado"),CONCATENATE("R1C",'Administrativo '!#REF!),"")</f>
        <v>#REF!</v>
      </c>
      <c r="Z46" s="66" t="e">
        <f>IF(AND('Administrativo '!#REF!="Muy Baja",'Administrativo '!#REF!="Moderado"),CONCATENATE("R1C",'Administrativo '!#REF!),"")</f>
        <v>#REF!</v>
      </c>
      <c r="AA46" s="67" t="e">
        <f>IF(AND('Administrativo '!#REF!="Muy Baja",'Administrativo '!#REF!="Moderado"),CONCATENATE("R1C",'Administrativo '!#REF!),"")</f>
        <v>#REF!</v>
      </c>
      <c r="AB46" s="47" t="str">
        <f ca="1">IF(AND('Administrativo '!$Y$10="Muy Baja",'Administrativo '!$AA$10="Mayor"),CONCATENATE("R1C",'Administrativo '!$O$10),"")</f>
        <v/>
      </c>
      <c r="AC46" s="48" t="str">
        <f ca="1">IF(AND('Administrativo '!$Y$11="Muy Baja",'Administrativo '!$AA$11="Mayor"),CONCATENATE("R1C",'Administrativo '!$O$11),"")</f>
        <v/>
      </c>
      <c r="AD46" s="48" t="e">
        <f>IF(AND('Administrativo '!#REF!="Muy Baja",'Administrativo '!#REF!="Mayor"),CONCATENATE("R1C",'Administrativo '!#REF!),"")</f>
        <v>#REF!</v>
      </c>
      <c r="AE46" s="48" t="e">
        <f>IF(AND('Administrativo '!#REF!="Muy Baja",'Administrativo '!#REF!="Mayor"),CONCATENATE("R1C",'Administrativo '!#REF!),"")</f>
        <v>#REF!</v>
      </c>
      <c r="AF46" s="48" t="e">
        <f>IF(AND('Administrativo '!#REF!="Muy Baja",'Administrativo '!#REF!="Mayor"),CONCATENATE("R1C",'Administrativo '!#REF!),"")</f>
        <v>#REF!</v>
      </c>
      <c r="AG46" s="49" t="e">
        <f>IF(AND('Administrativo '!#REF!="Muy Baja",'Administrativo '!#REF!="Mayor"),CONCATENATE("R1C",'Administrativo '!#REF!),"")</f>
        <v>#REF!</v>
      </c>
      <c r="AH46" s="50" t="str">
        <f ca="1">IF(AND('Administrativo '!$Y$10="Muy Baja",'Administrativo '!$AA$10="Catastrófico"),CONCATENATE("R1C",'Administrativo '!$O$10),"")</f>
        <v/>
      </c>
      <c r="AI46" s="51" t="str">
        <f ca="1">IF(AND('Administrativo '!$Y$11="Muy Baja",'Administrativo '!$AA$11="Catastrófico"),CONCATENATE("R1C",'Administrativo '!$O$11),"")</f>
        <v/>
      </c>
      <c r="AJ46" s="51" t="e">
        <f>IF(AND('Administrativo '!#REF!="Muy Baja",'Administrativo '!#REF!="Catastrófico"),CONCATENATE("R1C",'Administrativo '!#REF!),"")</f>
        <v>#REF!</v>
      </c>
      <c r="AK46" s="51" t="e">
        <f>IF(AND('Administrativo '!#REF!="Muy Baja",'Administrativo '!#REF!="Catastrófico"),CONCATENATE("R1C",'Administrativo '!#REF!),"")</f>
        <v>#REF!</v>
      </c>
      <c r="AL46" s="51" t="e">
        <f>IF(AND('Administrativo '!#REF!="Muy Baja",'Administrativo '!#REF!="Catastrófico"),CONCATENATE("R1C",'Administrativo '!#REF!),"")</f>
        <v>#REF!</v>
      </c>
      <c r="AM46" s="52" t="e">
        <f>IF(AND('Administrativo '!#REF!="Muy Baja",'Administrativo '!#REF!="Catastrófico"),CONCATENATE("R1C",'Administrativo '!#REF!),"")</f>
        <v>#REF!</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361"/>
      <c r="C47" s="361"/>
      <c r="D47" s="362"/>
      <c r="E47" s="418"/>
      <c r="F47" s="403"/>
      <c r="G47" s="403"/>
      <c r="H47" s="403"/>
      <c r="I47" s="404"/>
      <c r="J47" s="77" t="e">
        <f>IF(AND('Administrativo '!#REF!="Muy Baja",'Administrativo '!#REF!="Leve"),CONCATENATE("R2C",'Administrativo '!#REF!),"")</f>
        <v>#REF!</v>
      </c>
      <c r="K47" s="78" t="e">
        <f>IF(AND('Administrativo '!#REF!="Muy Baja",'Administrativo '!#REF!="Leve"),CONCATENATE("R2C",'Administrativo '!#REF!),"")</f>
        <v>#REF!</v>
      </c>
      <c r="L47" s="78" t="e">
        <f>IF(AND('Administrativo '!#REF!="Muy Baja",'Administrativo '!#REF!="Leve"),CONCATENATE("R2C",'Administrativo '!#REF!),"")</f>
        <v>#REF!</v>
      </c>
      <c r="M47" s="78" t="e">
        <f>IF(AND('Administrativo '!#REF!="Muy Baja",'Administrativo '!#REF!="Leve"),CONCATENATE("R2C",'Administrativo '!#REF!),"")</f>
        <v>#REF!</v>
      </c>
      <c r="N47" s="78" t="e">
        <f>IF(AND('Administrativo '!#REF!="Muy Baja",'Administrativo '!#REF!="Leve"),CONCATENATE("R2C",'Administrativo '!#REF!),"")</f>
        <v>#REF!</v>
      </c>
      <c r="O47" s="79" t="e">
        <f>IF(AND('Administrativo '!#REF!="Muy Baja",'Administrativo '!#REF!="Leve"),CONCATENATE("R2C",'Administrativo '!#REF!),"")</f>
        <v>#REF!</v>
      </c>
      <c r="P47" s="77" t="e">
        <f>IF(AND('Administrativo '!#REF!="Muy Baja",'Administrativo '!#REF!="Menor"),CONCATENATE("R2C",'Administrativo '!#REF!),"")</f>
        <v>#REF!</v>
      </c>
      <c r="Q47" s="78" t="e">
        <f>IF(AND('Administrativo '!#REF!="Muy Baja",'Administrativo '!#REF!="Menor"),CONCATENATE("R2C",'Administrativo '!#REF!),"")</f>
        <v>#REF!</v>
      </c>
      <c r="R47" s="78" t="e">
        <f>IF(AND('Administrativo '!#REF!="Muy Baja",'Administrativo '!#REF!="Menor"),CONCATENATE("R2C",'Administrativo '!#REF!),"")</f>
        <v>#REF!</v>
      </c>
      <c r="S47" s="78" t="e">
        <f>IF(AND('Administrativo '!#REF!="Muy Baja",'Administrativo '!#REF!="Menor"),CONCATENATE("R2C",'Administrativo '!#REF!),"")</f>
        <v>#REF!</v>
      </c>
      <c r="T47" s="78" t="e">
        <f>IF(AND('Administrativo '!#REF!="Muy Baja",'Administrativo '!#REF!="Menor"),CONCATENATE("R2C",'Administrativo '!#REF!),"")</f>
        <v>#REF!</v>
      </c>
      <c r="U47" s="79" t="e">
        <f>IF(AND('Administrativo '!#REF!="Muy Baja",'Administrativo '!#REF!="Menor"),CONCATENATE("R2C",'Administrativo '!#REF!),"")</f>
        <v>#REF!</v>
      </c>
      <c r="V47" s="68" t="e">
        <f>IF(AND('Administrativo '!#REF!="Muy Baja",'Administrativo '!#REF!="Moderado"),CONCATENATE("R2C",'Administrativo '!#REF!),"")</f>
        <v>#REF!</v>
      </c>
      <c r="W47" s="69" t="e">
        <f>IF(AND('Administrativo '!#REF!="Muy Baja",'Administrativo '!#REF!="Moderado"),CONCATENATE("R2C",'Administrativo '!#REF!),"")</f>
        <v>#REF!</v>
      </c>
      <c r="X47" s="69" t="e">
        <f>IF(AND('Administrativo '!#REF!="Muy Baja",'Administrativo '!#REF!="Moderado"),CONCATENATE("R2C",'Administrativo '!#REF!),"")</f>
        <v>#REF!</v>
      </c>
      <c r="Y47" s="69" t="e">
        <f>IF(AND('Administrativo '!#REF!="Muy Baja",'Administrativo '!#REF!="Moderado"),CONCATENATE("R2C",'Administrativo '!#REF!),"")</f>
        <v>#REF!</v>
      </c>
      <c r="Z47" s="69" t="e">
        <f>IF(AND('Administrativo '!#REF!="Muy Baja",'Administrativo '!#REF!="Moderado"),CONCATENATE("R2C",'Administrativo '!#REF!),"")</f>
        <v>#REF!</v>
      </c>
      <c r="AA47" s="70" t="e">
        <f>IF(AND('Administrativo '!#REF!="Muy Baja",'Administrativo '!#REF!="Moderado"),CONCATENATE("R2C",'Administrativo '!#REF!),"")</f>
        <v>#REF!</v>
      </c>
      <c r="AB47" s="53" t="e">
        <f>IF(AND('Administrativo '!#REF!="Muy Baja",'Administrativo '!#REF!="Mayor"),CONCATENATE("R2C",'Administrativo '!#REF!),"")</f>
        <v>#REF!</v>
      </c>
      <c r="AC47" s="54" t="e">
        <f>IF(AND('Administrativo '!#REF!="Muy Baja",'Administrativo '!#REF!="Mayor"),CONCATENATE("R2C",'Administrativo '!#REF!),"")</f>
        <v>#REF!</v>
      </c>
      <c r="AD47" s="54" t="e">
        <f>IF(AND('Administrativo '!#REF!="Muy Baja",'Administrativo '!#REF!="Mayor"),CONCATENATE("R2C",'Administrativo '!#REF!),"")</f>
        <v>#REF!</v>
      </c>
      <c r="AE47" s="54" t="e">
        <f>IF(AND('Administrativo '!#REF!="Muy Baja",'Administrativo '!#REF!="Mayor"),CONCATENATE("R2C",'Administrativo '!#REF!),"")</f>
        <v>#REF!</v>
      </c>
      <c r="AF47" s="54" t="e">
        <f>IF(AND('Administrativo '!#REF!="Muy Baja",'Administrativo '!#REF!="Mayor"),CONCATENATE("R2C",'Administrativo '!#REF!),"")</f>
        <v>#REF!</v>
      </c>
      <c r="AG47" s="55" t="e">
        <f>IF(AND('Administrativo '!#REF!="Muy Baja",'Administrativo '!#REF!="Mayor"),CONCATENATE("R2C",'Administrativo '!#REF!),"")</f>
        <v>#REF!</v>
      </c>
      <c r="AH47" s="56" t="e">
        <f>IF(AND('Administrativo '!#REF!="Muy Baja",'Administrativo '!#REF!="Catastrófico"),CONCATENATE("R2C",'Administrativo '!#REF!),"")</f>
        <v>#REF!</v>
      </c>
      <c r="AI47" s="57" t="e">
        <f>IF(AND('Administrativo '!#REF!="Muy Baja",'Administrativo '!#REF!="Catastrófico"),CONCATENATE("R2C",'Administrativo '!#REF!),"")</f>
        <v>#REF!</v>
      </c>
      <c r="AJ47" s="57" t="e">
        <f>IF(AND('Administrativo '!#REF!="Muy Baja",'Administrativo '!#REF!="Catastrófico"),CONCATENATE("R2C",'Administrativo '!#REF!),"")</f>
        <v>#REF!</v>
      </c>
      <c r="AK47" s="57" t="e">
        <f>IF(AND('Administrativo '!#REF!="Muy Baja",'Administrativo '!#REF!="Catastrófico"),CONCATENATE("R2C",'Administrativo '!#REF!),"")</f>
        <v>#REF!</v>
      </c>
      <c r="AL47" s="57" t="e">
        <f>IF(AND('Administrativo '!#REF!="Muy Baja",'Administrativo '!#REF!="Catastrófico"),CONCATENATE("R2C",'Administrativo '!#REF!),"")</f>
        <v>#REF!</v>
      </c>
      <c r="AM47" s="58" t="e">
        <f>IF(AND('Administrativo '!#REF!="Muy Baja",'Administrativo '!#REF!="Catastrófico"),CONCATENATE("R2C",'Administrativo '!#REF!),"")</f>
        <v>#REF!</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361"/>
      <c r="C48" s="361"/>
      <c r="D48" s="362"/>
      <c r="E48" s="418"/>
      <c r="F48" s="403"/>
      <c r="G48" s="403"/>
      <c r="H48" s="403"/>
      <c r="I48" s="404"/>
      <c r="J48" s="77" t="e">
        <f>IF(AND('Administrativo '!#REF!="Muy Baja",'Administrativo '!#REF!="Leve"),CONCATENATE("R3C",'Administrativo '!#REF!),"")</f>
        <v>#REF!</v>
      </c>
      <c r="K48" s="78" t="e">
        <f>IF(AND('Administrativo '!#REF!="Muy Baja",'Administrativo '!#REF!="Leve"),CONCATENATE("R3C",'Administrativo '!#REF!),"")</f>
        <v>#REF!</v>
      </c>
      <c r="L48" s="78" t="e">
        <f>IF(AND('Administrativo '!#REF!="Muy Baja",'Administrativo '!#REF!="Leve"),CONCATENATE("R3C",'Administrativo '!#REF!),"")</f>
        <v>#REF!</v>
      </c>
      <c r="M48" s="78" t="e">
        <f>IF(AND('Administrativo '!#REF!="Muy Baja",'Administrativo '!#REF!="Leve"),CONCATENATE("R3C",'Administrativo '!#REF!),"")</f>
        <v>#REF!</v>
      </c>
      <c r="N48" s="78" t="e">
        <f>IF(AND('Administrativo '!#REF!="Muy Baja",'Administrativo '!#REF!="Leve"),CONCATENATE("R3C",'Administrativo '!#REF!),"")</f>
        <v>#REF!</v>
      </c>
      <c r="O48" s="79" t="e">
        <f>IF(AND('Administrativo '!#REF!="Muy Baja",'Administrativo '!#REF!="Leve"),CONCATENATE("R3C",'Administrativo '!#REF!),"")</f>
        <v>#REF!</v>
      </c>
      <c r="P48" s="77" t="e">
        <f>IF(AND('Administrativo '!#REF!="Muy Baja",'Administrativo '!#REF!="Menor"),CONCATENATE("R3C",'Administrativo '!#REF!),"")</f>
        <v>#REF!</v>
      </c>
      <c r="Q48" s="78" t="e">
        <f>IF(AND('Administrativo '!#REF!="Muy Baja",'Administrativo '!#REF!="Menor"),CONCATENATE("R3C",'Administrativo '!#REF!),"")</f>
        <v>#REF!</v>
      </c>
      <c r="R48" s="78" t="e">
        <f>IF(AND('Administrativo '!#REF!="Muy Baja",'Administrativo '!#REF!="Menor"),CONCATENATE("R3C",'Administrativo '!#REF!),"")</f>
        <v>#REF!</v>
      </c>
      <c r="S48" s="78" t="e">
        <f>IF(AND('Administrativo '!#REF!="Muy Baja",'Administrativo '!#REF!="Menor"),CONCATENATE("R3C",'Administrativo '!#REF!),"")</f>
        <v>#REF!</v>
      </c>
      <c r="T48" s="78" t="e">
        <f>IF(AND('Administrativo '!#REF!="Muy Baja",'Administrativo '!#REF!="Menor"),CONCATENATE("R3C",'Administrativo '!#REF!),"")</f>
        <v>#REF!</v>
      </c>
      <c r="U48" s="79" t="e">
        <f>IF(AND('Administrativo '!#REF!="Muy Baja",'Administrativo '!#REF!="Menor"),CONCATENATE("R3C",'Administrativo '!#REF!),"")</f>
        <v>#REF!</v>
      </c>
      <c r="V48" s="68" t="e">
        <f>IF(AND('Administrativo '!#REF!="Muy Baja",'Administrativo '!#REF!="Moderado"),CONCATENATE("R3C",'Administrativo '!#REF!),"")</f>
        <v>#REF!</v>
      </c>
      <c r="W48" s="69" t="e">
        <f>IF(AND('Administrativo '!#REF!="Muy Baja",'Administrativo '!#REF!="Moderado"),CONCATENATE("R3C",'Administrativo '!#REF!),"")</f>
        <v>#REF!</v>
      </c>
      <c r="X48" s="69" t="e">
        <f>IF(AND('Administrativo '!#REF!="Muy Baja",'Administrativo '!#REF!="Moderado"),CONCATENATE("R3C",'Administrativo '!#REF!),"")</f>
        <v>#REF!</v>
      </c>
      <c r="Y48" s="69" t="e">
        <f>IF(AND('Administrativo '!#REF!="Muy Baja",'Administrativo '!#REF!="Moderado"),CONCATENATE("R3C",'Administrativo '!#REF!),"")</f>
        <v>#REF!</v>
      </c>
      <c r="Z48" s="69" t="e">
        <f>IF(AND('Administrativo '!#REF!="Muy Baja",'Administrativo '!#REF!="Moderado"),CONCATENATE("R3C",'Administrativo '!#REF!),"")</f>
        <v>#REF!</v>
      </c>
      <c r="AA48" s="70" t="e">
        <f>IF(AND('Administrativo '!#REF!="Muy Baja",'Administrativo '!#REF!="Moderado"),CONCATENATE("R3C",'Administrativo '!#REF!),"")</f>
        <v>#REF!</v>
      </c>
      <c r="AB48" s="53" t="e">
        <f>IF(AND('Administrativo '!#REF!="Muy Baja",'Administrativo '!#REF!="Mayor"),CONCATENATE("R3C",'Administrativo '!#REF!),"")</f>
        <v>#REF!</v>
      </c>
      <c r="AC48" s="54" t="e">
        <f>IF(AND('Administrativo '!#REF!="Muy Baja",'Administrativo '!#REF!="Mayor"),CONCATENATE("R3C",'Administrativo '!#REF!),"")</f>
        <v>#REF!</v>
      </c>
      <c r="AD48" s="54" t="e">
        <f>IF(AND('Administrativo '!#REF!="Muy Baja",'Administrativo '!#REF!="Mayor"),CONCATENATE("R3C",'Administrativo '!#REF!),"")</f>
        <v>#REF!</v>
      </c>
      <c r="AE48" s="54" t="e">
        <f>IF(AND('Administrativo '!#REF!="Muy Baja",'Administrativo '!#REF!="Mayor"),CONCATENATE("R3C",'Administrativo '!#REF!),"")</f>
        <v>#REF!</v>
      </c>
      <c r="AF48" s="54" t="e">
        <f>IF(AND('Administrativo '!#REF!="Muy Baja",'Administrativo '!#REF!="Mayor"),CONCATENATE("R3C",'Administrativo '!#REF!),"")</f>
        <v>#REF!</v>
      </c>
      <c r="AG48" s="55" t="e">
        <f>IF(AND('Administrativo '!#REF!="Muy Baja",'Administrativo '!#REF!="Mayor"),CONCATENATE("R3C",'Administrativo '!#REF!),"")</f>
        <v>#REF!</v>
      </c>
      <c r="AH48" s="56" t="e">
        <f>IF(AND('Administrativo '!#REF!="Muy Baja",'Administrativo '!#REF!="Catastrófico"),CONCATENATE("R3C",'Administrativo '!#REF!),"")</f>
        <v>#REF!</v>
      </c>
      <c r="AI48" s="57" t="e">
        <f>IF(AND('Administrativo '!#REF!="Muy Baja",'Administrativo '!#REF!="Catastrófico"),CONCATENATE("R3C",'Administrativo '!#REF!),"")</f>
        <v>#REF!</v>
      </c>
      <c r="AJ48" s="57" t="e">
        <f>IF(AND('Administrativo '!#REF!="Muy Baja",'Administrativo '!#REF!="Catastrófico"),CONCATENATE("R3C",'Administrativo '!#REF!),"")</f>
        <v>#REF!</v>
      </c>
      <c r="AK48" s="57" t="e">
        <f>IF(AND('Administrativo '!#REF!="Muy Baja",'Administrativo '!#REF!="Catastrófico"),CONCATENATE("R3C",'Administrativo '!#REF!),"")</f>
        <v>#REF!</v>
      </c>
      <c r="AL48" s="57" t="e">
        <f>IF(AND('Administrativo '!#REF!="Muy Baja",'Administrativo '!#REF!="Catastrófico"),CONCATENATE("R3C",'Administrativo '!#REF!),"")</f>
        <v>#REF!</v>
      </c>
      <c r="AM48" s="58" t="e">
        <f>IF(AND('Administrativo '!#REF!="Muy Baja",'Administrativo '!#REF!="Catastrófico"),CONCATENATE("R3C",'Administrativo '!#REF!),"")</f>
        <v>#REF!</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361"/>
      <c r="C49" s="361"/>
      <c r="D49" s="362"/>
      <c r="E49" s="402"/>
      <c r="F49" s="403"/>
      <c r="G49" s="403"/>
      <c r="H49" s="403"/>
      <c r="I49" s="404"/>
      <c r="J49" s="77" t="e">
        <f>IF(AND('Administrativo '!#REF!="Muy Baja",'Administrativo '!#REF!="Leve"),CONCATENATE("R4C",'Administrativo '!#REF!),"")</f>
        <v>#REF!</v>
      </c>
      <c r="K49" s="78" t="e">
        <f>IF(AND('Administrativo '!#REF!="Muy Baja",'Administrativo '!#REF!="Leve"),CONCATENATE("R4C",'Administrativo '!#REF!),"")</f>
        <v>#REF!</v>
      </c>
      <c r="L49" s="78" t="e">
        <f>IF(AND('Administrativo '!#REF!="Muy Baja",'Administrativo '!#REF!="Leve"),CONCATENATE("R4C",'Administrativo '!#REF!),"")</f>
        <v>#REF!</v>
      </c>
      <c r="M49" s="78" t="e">
        <f>IF(AND('Administrativo '!#REF!="Muy Baja",'Administrativo '!#REF!="Leve"),CONCATENATE("R4C",'Administrativo '!#REF!),"")</f>
        <v>#REF!</v>
      </c>
      <c r="N49" s="78" t="e">
        <f>IF(AND('Administrativo '!#REF!="Muy Baja",'Administrativo '!#REF!="Leve"),CONCATENATE("R4C",'Administrativo '!#REF!),"")</f>
        <v>#REF!</v>
      </c>
      <c r="O49" s="79" t="e">
        <f>IF(AND('Administrativo '!#REF!="Muy Baja",'Administrativo '!#REF!="Leve"),CONCATENATE("R4C",'Administrativo '!#REF!),"")</f>
        <v>#REF!</v>
      </c>
      <c r="P49" s="77" t="e">
        <f>IF(AND('Administrativo '!#REF!="Muy Baja",'Administrativo '!#REF!="Menor"),CONCATENATE("R4C",'Administrativo '!#REF!),"")</f>
        <v>#REF!</v>
      </c>
      <c r="Q49" s="78" t="e">
        <f>IF(AND('Administrativo '!#REF!="Muy Baja",'Administrativo '!#REF!="Menor"),CONCATENATE("R4C",'Administrativo '!#REF!),"")</f>
        <v>#REF!</v>
      </c>
      <c r="R49" s="78" t="e">
        <f>IF(AND('Administrativo '!#REF!="Muy Baja",'Administrativo '!#REF!="Menor"),CONCATENATE("R4C",'Administrativo '!#REF!),"")</f>
        <v>#REF!</v>
      </c>
      <c r="S49" s="78" t="e">
        <f>IF(AND('Administrativo '!#REF!="Muy Baja",'Administrativo '!#REF!="Menor"),CONCATENATE("R4C",'Administrativo '!#REF!),"")</f>
        <v>#REF!</v>
      </c>
      <c r="T49" s="78" t="e">
        <f>IF(AND('Administrativo '!#REF!="Muy Baja",'Administrativo '!#REF!="Menor"),CONCATENATE("R4C",'Administrativo '!#REF!),"")</f>
        <v>#REF!</v>
      </c>
      <c r="U49" s="79" t="e">
        <f>IF(AND('Administrativo '!#REF!="Muy Baja",'Administrativo '!#REF!="Menor"),CONCATENATE("R4C",'Administrativo '!#REF!),"")</f>
        <v>#REF!</v>
      </c>
      <c r="V49" s="68" t="e">
        <f>IF(AND('Administrativo '!#REF!="Muy Baja",'Administrativo '!#REF!="Moderado"),CONCATENATE("R4C",'Administrativo '!#REF!),"")</f>
        <v>#REF!</v>
      </c>
      <c r="W49" s="69" t="e">
        <f>IF(AND('Administrativo '!#REF!="Muy Baja",'Administrativo '!#REF!="Moderado"),CONCATENATE("R4C",'Administrativo '!#REF!),"")</f>
        <v>#REF!</v>
      </c>
      <c r="X49" s="69" t="e">
        <f>IF(AND('Administrativo '!#REF!="Muy Baja",'Administrativo '!#REF!="Moderado"),CONCATENATE("R4C",'Administrativo '!#REF!),"")</f>
        <v>#REF!</v>
      </c>
      <c r="Y49" s="69" t="e">
        <f>IF(AND('Administrativo '!#REF!="Muy Baja",'Administrativo '!#REF!="Moderado"),CONCATENATE("R4C",'Administrativo '!#REF!),"")</f>
        <v>#REF!</v>
      </c>
      <c r="Z49" s="69" t="e">
        <f>IF(AND('Administrativo '!#REF!="Muy Baja",'Administrativo '!#REF!="Moderado"),CONCATENATE("R4C",'Administrativo '!#REF!),"")</f>
        <v>#REF!</v>
      </c>
      <c r="AA49" s="70" t="e">
        <f>IF(AND('Administrativo '!#REF!="Muy Baja",'Administrativo '!#REF!="Moderado"),CONCATENATE("R4C",'Administrativo '!#REF!),"")</f>
        <v>#REF!</v>
      </c>
      <c r="AB49" s="53" t="e">
        <f>IF(AND('Administrativo '!#REF!="Muy Baja",'Administrativo '!#REF!="Mayor"),CONCATENATE("R4C",'Administrativo '!#REF!),"")</f>
        <v>#REF!</v>
      </c>
      <c r="AC49" s="54" t="e">
        <f>IF(AND('Administrativo '!#REF!="Muy Baja",'Administrativo '!#REF!="Mayor"),CONCATENATE("R4C",'Administrativo '!#REF!),"")</f>
        <v>#REF!</v>
      </c>
      <c r="AD49" s="54" t="e">
        <f>IF(AND('Administrativo '!#REF!="Muy Baja",'Administrativo '!#REF!="Mayor"),CONCATENATE("R4C",'Administrativo '!#REF!),"")</f>
        <v>#REF!</v>
      </c>
      <c r="AE49" s="54" t="e">
        <f>IF(AND('Administrativo '!#REF!="Muy Baja",'Administrativo '!#REF!="Mayor"),CONCATENATE("R4C",'Administrativo '!#REF!),"")</f>
        <v>#REF!</v>
      </c>
      <c r="AF49" s="54" t="e">
        <f>IF(AND('Administrativo '!#REF!="Muy Baja",'Administrativo '!#REF!="Mayor"),CONCATENATE("R4C",'Administrativo '!#REF!),"")</f>
        <v>#REF!</v>
      </c>
      <c r="AG49" s="55" t="e">
        <f>IF(AND('Administrativo '!#REF!="Muy Baja",'Administrativo '!#REF!="Mayor"),CONCATENATE("R4C",'Administrativo '!#REF!),"")</f>
        <v>#REF!</v>
      </c>
      <c r="AH49" s="56" t="e">
        <f>IF(AND('Administrativo '!#REF!="Muy Baja",'Administrativo '!#REF!="Catastrófico"),CONCATENATE("R4C",'Administrativo '!#REF!),"")</f>
        <v>#REF!</v>
      </c>
      <c r="AI49" s="57" t="e">
        <f>IF(AND('Administrativo '!#REF!="Muy Baja",'Administrativo '!#REF!="Catastrófico"),CONCATENATE("R4C",'Administrativo '!#REF!),"")</f>
        <v>#REF!</v>
      </c>
      <c r="AJ49" s="57" t="e">
        <f>IF(AND('Administrativo '!#REF!="Muy Baja",'Administrativo '!#REF!="Catastrófico"),CONCATENATE("R4C",'Administrativo '!#REF!),"")</f>
        <v>#REF!</v>
      </c>
      <c r="AK49" s="57" t="e">
        <f>IF(AND('Administrativo '!#REF!="Muy Baja",'Administrativo '!#REF!="Catastrófico"),CONCATENATE("R4C",'Administrativo '!#REF!),"")</f>
        <v>#REF!</v>
      </c>
      <c r="AL49" s="57" t="e">
        <f>IF(AND('Administrativo '!#REF!="Muy Baja",'Administrativo '!#REF!="Catastrófico"),CONCATENATE("R4C",'Administrativo '!#REF!),"")</f>
        <v>#REF!</v>
      </c>
      <c r="AM49" s="58" t="e">
        <f>IF(AND('Administrativo '!#REF!="Muy Baja",'Administrativo '!#REF!="Catastrófico"),CONCATENATE("R4C",'Administrativo '!#REF!),"")</f>
        <v>#REF!</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361"/>
      <c r="C50" s="361"/>
      <c r="D50" s="362"/>
      <c r="E50" s="402"/>
      <c r="F50" s="403"/>
      <c r="G50" s="403"/>
      <c r="H50" s="403"/>
      <c r="I50" s="404"/>
      <c r="J50" s="77" t="e">
        <f>IF(AND('Administrativo '!#REF!="Muy Baja",'Administrativo '!#REF!="Leve"),CONCATENATE("R5C",'Administrativo '!#REF!),"")</f>
        <v>#REF!</v>
      </c>
      <c r="K50" s="78" t="e">
        <f>IF(AND('Administrativo '!#REF!="Muy Baja",'Administrativo '!#REF!="Leve"),CONCATENATE("R5C",'Administrativo '!#REF!),"")</f>
        <v>#REF!</v>
      </c>
      <c r="L50" s="78" t="e">
        <f>IF(AND('Administrativo '!#REF!="Muy Baja",'Administrativo '!#REF!="Leve"),CONCATENATE("R5C",'Administrativo '!#REF!),"")</f>
        <v>#REF!</v>
      </c>
      <c r="M50" s="78" t="e">
        <f>IF(AND('Administrativo '!#REF!="Muy Baja",'Administrativo '!#REF!="Leve"),CONCATENATE("R5C",'Administrativo '!#REF!),"")</f>
        <v>#REF!</v>
      </c>
      <c r="N50" s="78" t="e">
        <f>IF(AND('Administrativo '!#REF!="Muy Baja",'Administrativo '!#REF!="Leve"),CONCATENATE("R5C",'Administrativo '!#REF!),"")</f>
        <v>#REF!</v>
      </c>
      <c r="O50" s="79" t="e">
        <f>IF(AND('Administrativo '!#REF!="Muy Baja",'Administrativo '!#REF!="Leve"),CONCATENATE("R5C",'Administrativo '!#REF!),"")</f>
        <v>#REF!</v>
      </c>
      <c r="P50" s="77" t="e">
        <f>IF(AND('Administrativo '!#REF!="Muy Baja",'Administrativo '!#REF!="Menor"),CONCATENATE("R5C",'Administrativo '!#REF!),"")</f>
        <v>#REF!</v>
      </c>
      <c r="Q50" s="78" t="e">
        <f>IF(AND('Administrativo '!#REF!="Muy Baja",'Administrativo '!#REF!="Menor"),CONCATENATE("R5C",'Administrativo '!#REF!),"")</f>
        <v>#REF!</v>
      </c>
      <c r="R50" s="78" t="e">
        <f>IF(AND('Administrativo '!#REF!="Muy Baja",'Administrativo '!#REF!="Menor"),CONCATENATE("R5C",'Administrativo '!#REF!),"")</f>
        <v>#REF!</v>
      </c>
      <c r="S50" s="78" t="e">
        <f>IF(AND('Administrativo '!#REF!="Muy Baja",'Administrativo '!#REF!="Menor"),CONCATENATE("R5C",'Administrativo '!#REF!),"")</f>
        <v>#REF!</v>
      </c>
      <c r="T50" s="78" t="e">
        <f>IF(AND('Administrativo '!#REF!="Muy Baja",'Administrativo '!#REF!="Menor"),CONCATENATE("R5C",'Administrativo '!#REF!),"")</f>
        <v>#REF!</v>
      </c>
      <c r="U50" s="79" t="e">
        <f>IF(AND('Administrativo '!#REF!="Muy Baja",'Administrativo '!#REF!="Menor"),CONCATENATE("R5C",'Administrativo '!#REF!),"")</f>
        <v>#REF!</v>
      </c>
      <c r="V50" s="68" t="e">
        <f>IF(AND('Administrativo '!#REF!="Muy Baja",'Administrativo '!#REF!="Moderado"),CONCATENATE("R5C",'Administrativo '!#REF!),"")</f>
        <v>#REF!</v>
      </c>
      <c r="W50" s="69" t="e">
        <f>IF(AND('Administrativo '!#REF!="Muy Baja",'Administrativo '!#REF!="Moderado"),CONCATENATE("R5C",'Administrativo '!#REF!),"")</f>
        <v>#REF!</v>
      </c>
      <c r="X50" s="69" t="e">
        <f>IF(AND('Administrativo '!#REF!="Muy Baja",'Administrativo '!#REF!="Moderado"),CONCATENATE("R5C",'Administrativo '!#REF!),"")</f>
        <v>#REF!</v>
      </c>
      <c r="Y50" s="69" t="e">
        <f>IF(AND('Administrativo '!#REF!="Muy Baja",'Administrativo '!#REF!="Moderado"),CONCATENATE("R5C",'Administrativo '!#REF!),"")</f>
        <v>#REF!</v>
      </c>
      <c r="Z50" s="69" t="e">
        <f>IF(AND('Administrativo '!#REF!="Muy Baja",'Administrativo '!#REF!="Moderado"),CONCATENATE("R5C",'Administrativo '!#REF!),"")</f>
        <v>#REF!</v>
      </c>
      <c r="AA50" s="70" t="e">
        <f>IF(AND('Administrativo '!#REF!="Muy Baja",'Administrativo '!#REF!="Moderado"),CONCATENATE("R5C",'Administrativo '!#REF!),"")</f>
        <v>#REF!</v>
      </c>
      <c r="AB50" s="53" t="e">
        <f>IF(AND('Administrativo '!#REF!="Muy Baja",'Administrativo '!#REF!="Mayor"),CONCATENATE("R5C",'Administrativo '!#REF!),"")</f>
        <v>#REF!</v>
      </c>
      <c r="AC50" s="54" t="e">
        <f>IF(AND('Administrativo '!#REF!="Muy Baja",'Administrativo '!#REF!="Mayor"),CONCATENATE("R5C",'Administrativo '!#REF!),"")</f>
        <v>#REF!</v>
      </c>
      <c r="AD50" s="54" t="e">
        <f>IF(AND('Administrativo '!#REF!="Muy Baja",'Administrativo '!#REF!="Mayor"),CONCATENATE("R5C",'Administrativo '!#REF!),"")</f>
        <v>#REF!</v>
      </c>
      <c r="AE50" s="54" t="e">
        <f>IF(AND('Administrativo '!#REF!="Muy Baja",'Administrativo '!#REF!="Mayor"),CONCATENATE("R5C",'Administrativo '!#REF!),"")</f>
        <v>#REF!</v>
      </c>
      <c r="AF50" s="54" t="e">
        <f>IF(AND('Administrativo '!#REF!="Muy Baja",'Administrativo '!#REF!="Mayor"),CONCATENATE("R5C",'Administrativo '!#REF!),"")</f>
        <v>#REF!</v>
      </c>
      <c r="AG50" s="55" t="e">
        <f>IF(AND('Administrativo '!#REF!="Muy Baja",'Administrativo '!#REF!="Mayor"),CONCATENATE("R5C",'Administrativo '!#REF!),"")</f>
        <v>#REF!</v>
      </c>
      <c r="AH50" s="56" t="e">
        <f>IF(AND('Administrativo '!#REF!="Muy Baja",'Administrativo '!#REF!="Catastrófico"),CONCATENATE("R5C",'Administrativo '!#REF!),"")</f>
        <v>#REF!</v>
      </c>
      <c r="AI50" s="57" t="e">
        <f>IF(AND('Administrativo '!#REF!="Muy Baja",'Administrativo '!#REF!="Catastrófico"),CONCATENATE("R5C",'Administrativo '!#REF!),"")</f>
        <v>#REF!</v>
      </c>
      <c r="AJ50" s="57" t="e">
        <f>IF(AND('Administrativo '!#REF!="Muy Baja",'Administrativo '!#REF!="Catastrófico"),CONCATENATE("R5C",'Administrativo '!#REF!),"")</f>
        <v>#REF!</v>
      </c>
      <c r="AK50" s="57" t="e">
        <f>IF(AND('Administrativo '!#REF!="Muy Baja",'Administrativo '!#REF!="Catastrófico"),CONCATENATE("R5C",'Administrativo '!#REF!),"")</f>
        <v>#REF!</v>
      </c>
      <c r="AL50" s="57" t="e">
        <f>IF(AND('Administrativo '!#REF!="Muy Baja",'Administrativo '!#REF!="Catastrófico"),CONCATENATE("R5C",'Administrativo '!#REF!),"")</f>
        <v>#REF!</v>
      </c>
      <c r="AM50" s="58" t="e">
        <f>IF(AND('Administrativo '!#REF!="Muy Baja",'Administrativo '!#REF!="Catastrófico"),CONCATENATE("R5C",'Administrativo '!#REF!),"")</f>
        <v>#REF!</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361"/>
      <c r="C51" s="361"/>
      <c r="D51" s="362"/>
      <c r="E51" s="402"/>
      <c r="F51" s="403"/>
      <c r="G51" s="403"/>
      <c r="H51" s="403"/>
      <c r="I51" s="404"/>
      <c r="J51" s="77" t="e">
        <f>IF(AND('Administrativo '!#REF!="Muy Baja",'Administrativo '!#REF!="Leve"),CONCATENATE("R6C",'Administrativo '!#REF!),"")</f>
        <v>#REF!</v>
      </c>
      <c r="K51" s="78" t="e">
        <f>IF(AND('Administrativo '!#REF!="Muy Baja",'Administrativo '!#REF!="Leve"),CONCATENATE("R6C",'Administrativo '!#REF!),"")</f>
        <v>#REF!</v>
      </c>
      <c r="L51" s="78" t="e">
        <f>IF(AND('Administrativo '!#REF!="Muy Baja",'Administrativo '!#REF!="Leve"),CONCATENATE("R6C",'Administrativo '!#REF!),"")</f>
        <v>#REF!</v>
      </c>
      <c r="M51" s="78" t="e">
        <f>IF(AND('Administrativo '!#REF!="Muy Baja",'Administrativo '!#REF!="Leve"),CONCATENATE("R6C",'Administrativo '!#REF!),"")</f>
        <v>#REF!</v>
      </c>
      <c r="N51" s="78" t="e">
        <f>IF(AND('Administrativo '!#REF!="Muy Baja",'Administrativo '!#REF!="Leve"),CONCATENATE("R6C",'Administrativo '!#REF!),"")</f>
        <v>#REF!</v>
      </c>
      <c r="O51" s="79" t="e">
        <f>IF(AND('Administrativo '!#REF!="Muy Baja",'Administrativo '!#REF!="Leve"),CONCATENATE("R6C",'Administrativo '!#REF!),"")</f>
        <v>#REF!</v>
      </c>
      <c r="P51" s="77" t="e">
        <f>IF(AND('Administrativo '!#REF!="Muy Baja",'Administrativo '!#REF!="Menor"),CONCATENATE("R6C",'Administrativo '!#REF!),"")</f>
        <v>#REF!</v>
      </c>
      <c r="Q51" s="78" t="e">
        <f>IF(AND('Administrativo '!#REF!="Muy Baja",'Administrativo '!#REF!="Menor"),CONCATENATE("R6C",'Administrativo '!#REF!),"")</f>
        <v>#REF!</v>
      </c>
      <c r="R51" s="78" t="e">
        <f>IF(AND('Administrativo '!#REF!="Muy Baja",'Administrativo '!#REF!="Menor"),CONCATENATE("R6C",'Administrativo '!#REF!),"")</f>
        <v>#REF!</v>
      </c>
      <c r="S51" s="78" t="e">
        <f>IF(AND('Administrativo '!#REF!="Muy Baja",'Administrativo '!#REF!="Menor"),CONCATENATE("R6C",'Administrativo '!#REF!),"")</f>
        <v>#REF!</v>
      </c>
      <c r="T51" s="78" t="e">
        <f>IF(AND('Administrativo '!#REF!="Muy Baja",'Administrativo '!#REF!="Menor"),CONCATENATE("R6C",'Administrativo '!#REF!),"")</f>
        <v>#REF!</v>
      </c>
      <c r="U51" s="79" t="e">
        <f>IF(AND('Administrativo '!#REF!="Muy Baja",'Administrativo '!#REF!="Menor"),CONCATENATE("R6C",'Administrativo '!#REF!),"")</f>
        <v>#REF!</v>
      </c>
      <c r="V51" s="68" t="e">
        <f>IF(AND('Administrativo '!#REF!="Muy Baja",'Administrativo '!#REF!="Moderado"),CONCATENATE("R6C",'Administrativo '!#REF!),"")</f>
        <v>#REF!</v>
      </c>
      <c r="W51" s="69" t="e">
        <f>IF(AND('Administrativo '!#REF!="Muy Baja",'Administrativo '!#REF!="Moderado"),CONCATENATE("R6C",'Administrativo '!#REF!),"")</f>
        <v>#REF!</v>
      </c>
      <c r="X51" s="69" t="e">
        <f>IF(AND('Administrativo '!#REF!="Muy Baja",'Administrativo '!#REF!="Moderado"),CONCATENATE("R6C",'Administrativo '!#REF!),"")</f>
        <v>#REF!</v>
      </c>
      <c r="Y51" s="69" t="e">
        <f>IF(AND('Administrativo '!#REF!="Muy Baja",'Administrativo '!#REF!="Moderado"),CONCATENATE("R6C",'Administrativo '!#REF!),"")</f>
        <v>#REF!</v>
      </c>
      <c r="Z51" s="69" t="e">
        <f>IF(AND('Administrativo '!#REF!="Muy Baja",'Administrativo '!#REF!="Moderado"),CONCATENATE("R6C",'Administrativo '!#REF!),"")</f>
        <v>#REF!</v>
      </c>
      <c r="AA51" s="70" t="e">
        <f>IF(AND('Administrativo '!#REF!="Muy Baja",'Administrativo '!#REF!="Moderado"),CONCATENATE("R6C",'Administrativo '!#REF!),"")</f>
        <v>#REF!</v>
      </c>
      <c r="AB51" s="53" t="e">
        <f>IF(AND('Administrativo '!#REF!="Muy Baja",'Administrativo '!#REF!="Mayor"),CONCATENATE("R6C",'Administrativo '!#REF!),"")</f>
        <v>#REF!</v>
      </c>
      <c r="AC51" s="54" t="e">
        <f>IF(AND('Administrativo '!#REF!="Muy Baja",'Administrativo '!#REF!="Mayor"),CONCATENATE("R6C",'Administrativo '!#REF!),"")</f>
        <v>#REF!</v>
      </c>
      <c r="AD51" s="54" t="e">
        <f>IF(AND('Administrativo '!#REF!="Muy Baja",'Administrativo '!#REF!="Mayor"),CONCATENATE("R6C",'Administrativo '!#REF!),"")</f>
        <v>#REF!</v>
      </c>
      <c r="AE51" s="54" t="e">
        <f>IF(AND('Administrativo '!#REF!="Muy Baja",'Administrativo '!#REF!="Mayor"),CONCATENATE("R6C",'Administrativo '!#REF!),"")</f>
        <v>#REF!</v>
      </c>
      <c r="AF51" s="54" t="e">
        <f>IF(AND('Administrativo '!#REF!="Muy Baja",'Administrativo '!#REF!="Mayor"),CONCATENATE("R6C",'Administrativo '!#REF!),"")</f>
        <v>#REF!</v>
      </c>
      <c r="AG51" s="55" t="e">
        <f>IF(AND('Administrativo '!#REF!="Muy Baja",'Administrativo '!#REF!="Mayor"),CONCATENATE("R6C",'Administrativo '!#REF!),"")</f>
        <v>#REF!</v>
      </c>
      <c r="AH51" s="56" t="e">
        <f>IF(AND('Administrativo '!#REF!="Muy Baja",'Administrativo '!#REF!="Catastrófico"),CONCATENATE("R6C",'Administrativo '!#REF!),"")</f>
        <v>#REF!</v>
      </c>
      <c r="AI51" s="57" t="e">
        <f>IF(AND('Administrativo '!#REF!="Muy Baja",'Administrativo '!#REF!="Catastrófico"),CONCATENATE("R6C",'Administrativo '!#REF!),"")</f>
        <v>#REF!</v>
      </c>
      <c r="AJ51" s="57" t="e">
        <f>IF(AND('Administrativo '!#REF!="Muy Baja",'Administrativo '!#REF!="Catastrófico"),CONCATENATE("R6C",'Administrativo '!#REF!),"")</f>
        <v>#REF!</v>
      </c>
      <c r="AK51" s="57" t="e">
        <f>IF(AND('Administrativo '!#REF!="Muy Baja",'Administrativo '!#REF!="Catastrófico"),CONCATENATE("R6C",'Administrativo '!#REF!),"")</f>
        <v>#REF!</v>
      </c>
      <c r="AL51" s="57" t="e">
        <f>IF(AND('Administrativo '!#REF!="Muy Baja",'Administrativo '!#REF!="Catastrófico"),CONCATENATE("R6C",'Administrativo '!#REF!),"")</f>
        <v>#REF!</v>
      </c>
      <c r="AM51" s="58" t="e">
        <f>IF(AND('Administrativo '!#REF!="Muy Baja",'Administrativo '!#REF!="Catastrófico"),CONCATENATE("R6C",'Administrativo '!#REF!),"")</f>
        <v>#REF!</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361"/>
      <c r="C52" s="361"/>
      <c r="D52" s="362"/>
      <c r="E52" s="402"/>
      <c r="F52" s="403"/>
      <c r="G52" s="403"/>
      <c r="H52" s="403"/>
      <c r="I52" s="404"/>
      <c r="J52" s="77" t="e">
        <f>IF(AND('Administrativo '!#REF!="Muy Baja",'Administrativo '!#REF!="Leve"),CONCATENATE("R7C",'Administrativo '!#REF!),"")</f>
        <v>#REF!</v>
      </c>
      <c r="K52" s="78" t="e">
        <f>IF(AND('Administrativo '!#REF!="Muy Baja",'Administrativo '!#REF!="Leve"),CONCATENATE("R7C",'Administrativo '!#REF!),"")</f>
        <v>#REF!</v>
      </c>
      <c r="L52" s="78" t="e">
        <f>IF(AND('Administrativo '!#REF!="Muy Baja",'Administrativo '!#REF!="Leve"),CONCATENATE("R7C",'Administrativo '!#REF!),"")</f>
        <v>#REF!</v>
      </c>
      <c r="M52" s="78" t="e">
        <f>IF(AND('Administrativo '!#REF!="Muy Baja",'Administrativo '!#REF!="Leve"),CONCATENATE("R7C",'Administrativo '!#REF!),"")</f>
        <v>#REF!</v>
      </c>
      <c r="N52" s="78" t="e">
        <f>IF(AND('Administrativo '!#REF!="Muy Baja",'Administrativo '!#REF!="Leve"),CONCATENATE("R7C",'Administrativo '!#REF!),"")</f>
        <v>#REF!</v>
      </c>
      <c r="O52" s="79" t="e">
        <f>IF(AND('Administrativo '!#REF!="Muy Baja",'Administrativo '!#REF!="Leve"),CONCATENATE("R7C",'Administrativo '!#REF!),"")</f>
        <v>#REF!</v>
      </c>
      <c r="P52" s="77" t="e">
        <f>IF(AND('Administrativo '!#REF!="Muy Baja",'Administrativo '!#REF!="Menor"),CONCATENATE("R7C",'Administrativo '!#REF!),"")</f>
        <v>#REF!</v>
      </c>
      <c r="Q52" s="78" t="e">
        <f>IF(AND('Administrativo '!#REF!="Muy Baja",'Administrativo '!#REF!="Menor"),CONCATENATE("R7C",'Administrativo '!#REF!),"")</f>
        <v>#REF!</v>
      </c>
      <c r="R52" s="78" t="e">
        <f>IF(AND('Administrativo '!#REF!="Muy Baja",'Administrativo '!#REF!="Menor"),CONCATENATE("R7C",'Administrativo '!#REF!),"")</f>
        <v>#REF!</v>
      </c>
      <c r="S52" s="78" t="e">
        <f>IF(AND('Administrativo '!#REF!="Muy Baja",'Administrativo '!#REF!="Menor"),CONCATENATE("R7C",'Administrativo '!#REF!),"")</f>
        <v>#REF!</v>
      </c>
      <c r="T52" s="78" t="e">
        <f>IF(AND('Administrativo '!#REF!="Muy Baja",'Administrativo '!#REF!="Menor"),CONCATENATE("R7C",'Administrativo '!#REF!),"")</f>
        <v>#REF!</v>
      </c>
      <c r="U52" s="79" t="e">
        <f>IF(AND('Administrativo '!#REF!="Muy Baja",'Administrativo '!#REF!="Menor"),CONCATENATE("R7C",'Administrativo '!#REF!),"")</f>
        <v>#REF!</v>
      </c>
      <c r="V52" s="68" t="e">
        <f>IF(AND('Administrativo '!#REF!="Muy Baja",'Administrativo '!#REF!="Moderado"),CONCATENATE("R7C",'Administrativo '!#REF!),"")</f>
        <v>#REF!</v>
      </c>
      <c r="W52" s="69" t="e">
        <f>IF(AND('Administrativo '!#REF!="Muy Baja",'Administrativo '!#REF!="Moderado"),CONCATENATE("R7C",'Administrativo '!#REF!),"")</f>
        <v>#REF!</v>
      </c>
      <c r="X52" s="69" t="e">
        <f>IF(AND('Administrativo '!#REF!="Muy Baja",'Administrativo '!#REF!="Moderado"),CONCATENATE("R7C",'Administrativo '!#REF!),"")</f>
        <v>#REF!</v>
      </c>
      <c r="Y52" s="69" t="e">
        <f>IF(AND('Administrativo '!#REF!="Muy Baja",'Administrativo '!#REF!="Moderado"),CONCATENATE("R7C",'Administrativo '!#REF!),"")</f>
        <v>#REF!</v>
      </c>
      <c r="Z52" s="69" t="e">
        <f>IF(AND('Administrativo '!#REF!="Muy Baja",'Administrativo '!#REF!="Moderado"),CONCATENATE("R7C",'Administrativo '!#REF!),"")</f>
        <v>#REF!</v>
      </c>
      <c r="AA52" s="70" t="e">
        <f>IF(AND('Administrativo '!#REF!="Muy Baja",'Administrativo '!#REF!="Moderado"),CONCATENATE("R7C",'Administrativo '!#REF!),"")</f>
        <v>#REF!</v>
      </c>
      <c r="AB52" s="53" t="e">
        <f>IF(AND('Administrativo '!#REF!="Muy Baja",'Administrativo '!#REF!="Mayor"),CONCATENATE("R7C",'Administrativo '!#REF!),"")</f>
        <v>#REF!</v>
      </c>
      <c r="AC52" s="54" t="e">
        <f>IF(AND('Administrativo '!#REF!="Muy Baja",'Administrativo '!#REF!="Mayor"),CONCATENATE("R7C",'Administrativo '!#REF!),"")</f>
        <v>#REF!</v>
      </c>
      <c r="AD52" s="54" t="e">
        <f>IF(AND('Administrativo '!#REF!="Muy Baja",'Administrativo '!#REF!="Mayor"),CONCATENATE("R7C",'Administrativo '!#REF!),"")</f>
        <v>#REF!</v>
      </c>
      <c r="AE52" s="54" t="e">
        <f>IF(AND('Administrativo '!#REF!="Muy Baja",'Administrativo '!#REF!="Mayor"),CONCATENATE("R7C",'Administrativo '!#REF!),"")</f>
        <v>#REF!</v>
      </c>
      <c r="AF52" s="54" t="e">
        <f>IF(AND('Administrativo '!#REF!="Muy Baja",'Administrativo '!#REF!="Mayor"),CONCATENATE("R7C",'Administrativo '!#REF!),"")</f>
        <v>#REF!</v>
      </c>
      <c r="AG52" s="55" t="e">
        <f>IF(AND('Administrativo '!#REF!="Muy Baja",'Administrativo '!#REF!="Mayor"),CONCATENATE("R7C",'Administrativo '!#REF!),"")</f>
        <v>#REF!</v>
      </c>
      <c r="AH52" s="56" t="e">
        <f>IF(AND('Administrativo '!#REF!="Muy Baja",'Administrativo '!#REF!="Catastrófico"),CONCATENATE("R7C",'Administrativo '!#REF!),"")</f>
        <v>#REF!</v>
      </c>
      <c r="AI52" s="57" t="e">
        <f>IF(AND('Administrativo '!#REF!="Muy Baja",'Administrativo '!#REF!="Catastrófico"),CONCATENATE("R7C",'Administrativo '!#REF!),"")</f>
        <v>#REF!</v>
      </c>
      <c r="AJ52" s="57" t="e">
        <f>IF(AND('Administrativo '!#REF!="Muy Baja",'Administrativo '!#REF!="Catastrófico"),CONCATENATE("R7C",'Administrativo '!#REF!),"")</f>
        <v>#REF!</v>
      </c>
      <c r="AK52" s="57" t="e">
        <f>IF(AND('Administrativo '!#REF!="Muy Baja",'Administrativo '!#REF!="Catastrófico"),CONCATENATE("R7C",'Administrativo '!#REF!),"")</f>
        <v>#REF!</v>
      </c>
      <c r="AL52" s="57" t="e">
        <f>IF(AND('Administrativo '!#REF!="Muy Baja",'Administrativo '!#REF!="Catastrófico"),CONCATENATE("R7C",'Administrativo '!#REF!),"")</f>
        <v>#REF!</v>
      </c>
      <c r="AM52" s="58" t="e">
        <f>IF(AND('Administrativo '!#REF!="Muy Baja",'Administrativo '!#REF!="Catastrófico"),CONCATENATE("R7C",'Administrativo '!#REF!),"")</f>
        <v>#REF!</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361"/>
      <c r="C53" s="361"/>
      <c r="D53" s="362"/>
      <c r="E53" s="402"/>
      <c r="F53" s="403"/>
      <c r="G53" s="403"/>
      <c r="H53" s="403"/>
      <c r="I53" s="404"/>
      <c r="J53" s="77" t="e">
        <f>IF(AND('Administrativo '!#REF!="Muy Baja",'Administrativo '!#REF!="Leve"),CONCATENATE("R8C",'Administrativo '!#REF!),"")</f>
        <v>#REF!</v>
      </c>
      <c r="K53" s="78" t="e">
        <f>IF(AND('Administrativo '!#REF!="Muy Baja",'Administrativo '!#REF!="Leve"),CONCATENATE("R8C",'Administrativo '!#REF!),"")</f>
        <v>#REF!</v>
      </c>
      <c r="L53" s="78" t="e">
        <f>IF(AND('Administrativo '!#REF!="Muy Baja",'Administrativo '!#REF!="Leve"),CONCATENATE("R8C",'Administrativo '!#REF!),"")</f>
        <v>#REF!</v>
      </c>
      <c r="M53" s="78" t="e">
        <f>IF(AND('Administrativo '!#REF!="Muy Baja",'Administrativo '!#REF!="Leve"),CONCATENATE("R8C",'Administrativo '!#REF!),"")</f>
        <v>#REF!</v>
      </c>
      <c r="N53" s="78" t="e">
        <f>IF(AND('Administrativo '!#REF!="Muy Baja",'Administrativo '!#REF!="Leve"),CONCATENATE("R8C",'Administrativo '!#REF!),"")</f>
        <v>#REF!</v>
      </c>
      <c r="O53" s="79" t="e">
        <f>IF(AND('Administrativo '!#REF!="Muy Baja",'Administrativo '!#REF!="Leve"),CONCATENATE("R8C",'Administrativo '!#REF!),"")</f>
        <v>#REF!</v>
      </c>
      <c r="P53" s="77" t="e">
        <f>IF(AND('Administrativo '!#REF!="Muy Baja",'Administrativo '!#REF!="Menor"),CONCATENATE("R8C",'Administrativo '!#REF!),"")</f>
        <v>#REF!</v>
      </c>
      <c r="Q53" s="78" t="e">
        <f>IF(AND('Administrativo '!#REF!="Muy Baja",'Administrativo '!#REF!="Menor"),CONCATENATE("R8C",'Administrativo '!#REF!),"")</f>
        <v>#REF!</v>
      </c>
      <c r="R53" s="78" t="e">
        <f>IF(AND('Administrativo '!#REF!="Muy Baja",'Administrativo '!#REF!="Menor"),CONCATENATE("R8C",'Administrativo '!#REF!),"")</f>
        <v>#REF!</v>
      </c>
      <c r="S53" s="78" t="e">
        <f>IF(AND('Administrativo '!#REF!="Muy Baja",'Administrativo '!#REF!="Menor"),CONCATENATE("R8C",'Administrativo '!#REF!),"")</f>
        <v>#REF!</v>
      </c>
      <c r="T53" s="78" t="e">
        <f>IF(AND('Administrativo '!#REF!="Muy Baja",'Administrativo '!#REF!="Menor"),CONCATENATE("R8C",'Administrativo '!#REF!),"")</f>
        <v>#REF!</v>
      </c>
      <c r="U53" s="79" t="e">
        <f>IF(AND('Administrativo '!#REF!="Muy Baja",'Administrativo '!#REF!="Menor"),CONCATENATE("R8C",'Administrativo '!#REF!),"")</f>
        <v>#REF!</v>
      </c>
      <c r="V53" s="68" t="e">
        <f>IF(AND('Administrativo '!#REF!="Muy Baja",'Administrativo '!#REF!="Moderado"),CONCATENATE("R8C",'Administrativo '!#REF!),"")</f>
        <v>#REF!</v>
      </c>
      <c r="W53" s="69" t="e">
        <f>IF(AND('Administrativo '!#REF!="Muy Baja",'Administrativo '!#REF!="Moderado"),CONCATENATE("R8C",'Administrativo '!#REF!),"")</f>
        <v>#REF!</v>
      </c>
      <c r="X53" s="69" t="e">
        <f>IF(AND('Administrativo '!#REF!="Muy Baja",'Administrativo '!#REF!="Moderado"),CONCATENATE("R8C",'Administrativo '!#REF!),"")</f>
        <v>#REF!</v>
      </c>
      <c r="Y53" s="69" t="e">
        <f>IF(AND('Administrativo '!#REF!="Muy Baja",'Administrativo '!#REF!="Moderado"),CONCATENATE("R8C",'Administrativo '!#REF!),"")</f>
        <v>#REF!</v>
      </c>
      <c r="Z53" s="69" t="e">
        <f>IF(AND('Administrativo '!#REF!="Muy Baja",'Administrativo '!#REF!="Moderado"),CONCATENATE("R8C",'Administrativo '!#REF!),"")</f>
        <v>#REF!</v>
      </c>
      <c r="AA53" s="70" t="e">
        <f>IF(AND('Administrativo '!#REF!="Muy Baja",'Administrativo '!#REF!="Moderado"),CONCATENATE("R8C",'Administrativo '!#REF!),"")</f>
        <v>#REF!</v>
      </c>
      <c r="AB53" s="53" t="e">
        <f>IF(AND('Administrativo '!#REF!="Muy Baja",'Administrativo '!#REF!="Mayor"),CONCATENATE("R8C",'Administrativo '!#REF!),"")</f>
        <v>#REF!</v>
      </c>
      <c r="AC53" s="54" t="e">
        <f>IF(AND('Administrativo '!#REF!="Muy Baja",'Administrativo '!#REF!="Mayor"),CONCATENATE("R8C",'Administrativo '!#REF!),"")</f>
        <v>#REF!</v>
      </c>
      <c r="AD53" s="54" t="e">
        <f>IF(AND('Administrativo '!#REF!="Muy Baja",'Administrativo '!#REF!="Mayor"),CONCATENATE("R8C",'Administrativo '!#REF!),"")</f>
        <v>#REF!</v>
      </c>
      <c r="AE53" s="54" t="e">
        <f>IF(AND('Administrativo '!#REF!="Muy Baja",'Administrativo '!#REF!="Mayor"),CONCATENATE("R8C",'Administrativo '!#REF!),"")</f>
        <v>#REF!</v>
      </c>
      <c r="AF53" s="54" t="e">
        <f>IF(AND('Administrativo '!#REF!="Muy Baja",'Administrativo '!#REF!="Mayor"),CONCATENATE("R8C",'Administrativo '!#REF!),"")</f>
        <v>#REF!</v>
      </c>
      <c r="AG53" s="55" t="e">
        <f>IF(AND('Administrativo '!#REF!="Muy Baja",'Administrativo '!#REF!="Mayor"),CONCATENATE("R8C",'Administrativo '!#REF!),"")</f>
        <v>#REF!</v>
      </c>
      <c r="AH53" s="56" t="e">
        <f>IF(AND('Administrativo '!#REF!="Muy Baja",'Administrativo '!#REF!="Catastrófico"),CONCATENATE("R8C",'Administrativo '!#REF!),"")</f>
        <v>#REF!</v>
      </c>
      <c r="AI53" s="57" t="e">
        <f>IF(AND('Administrativo '!#REF!="Muy Baja",'Administrativo '!#REF!="Catastrófico"),CONCATENATE("R8C",'Administrativo '!#REF!),"")</f>
        <v>#REF!</v>
      </c>
      <c r="AJ53" s="57" t="e">
        <f>IF(AND('Administrativo '!#REF!="Muy Baja",'Administrativo '!#REF!="Catastrófico"),CONCATENATE("R8C",'Administrativo '!#REF!),"")</f>
        <v>#REF!</v>
      </c>
      <c r="AK53" s="57" t="e">
        <f>IF(AND('Administrativo '!#REF!="Muy Baja",'Administrativo '!#REF!="Catastrófico"),CONCATENATE("R8C",'Administrativo '!#REF!),"")</f>
        <v>#REF!</v>
      </c>
      <c r="AL53" s="57" t="e">
        <f>IF(AND('Administrativo '!#REF!="Muy Baja",'Administrativo '!#REF!="Catastrófico"),CONCATENATE("R8C",'Administrativo '!#REF!),"")</f>
        <v>#REF!</v>
      </c>
      <c r="AM53" s="58" t="e">
        <f>IF(AND('Administrativo '!#REF!="Muy Baja",'Administrativo '!#REF!="Catastrófico"),CONCATENATE("R8C",'Administrativo '!#REF!),"")</f>
        <v>#REF!</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361"/>
      <c r="C54" s="361"/>
      <c r="D54" s="362"/>
      <c r="E54" s="402"/>
      <c r="F54" s="403"/>
      <c r="G54" s="403"/>
      <c r="H54" s="403"/>
      <c r="I54" s="404"/>
      <c r="J54" s="77" t="e">
        <f>IF(AND('Administrativo '!#REF!="Muy Baja",'Administrativo '!#REF!="Leve"),CONCATENATE("R9C",'Administrativo '!#REF!),"")</f>
        <v>#REF!</v>
      </c>
      <c r="K54" s="78" t="e">
        <f>IF(AND('Administrativo '!#REF!="Muy Baja",'Administrativo '!#REF!="Leve"),CONCATENATE("R9C",'Administrativo '!#REF!),"")</f>
        <v>#REF!</v>
      </c>
      <c r="L54" s="78" t="e">
        <f>IF(AND('Administrativo '!#REF!="Muy Baja",'Administrativo '!#REF!="Leve"),CONCATENATE("R9C",'Administrativo '!#REF!),"")</f>
        <v>#REF!</v>
      </c>
      <c r="M54" s="78" t="e">
        <f>IF(AND('Administrativo '!#REF!="Muy Baja",'Administrativo '!#REF!="Leve"),CONCATENATE("R9C",'Administrativo '!#REF!),"")</f>
        <v>#REF!</v>
      </c>
      <c r="N54" s="78" t="e">
        <f>IF(AND('Administrativo '!#REF!="Muy Baja",'Administrativo '!#REF!="Leve"),CONCATENATE("R9C",'Administrativo '!#REF!),"")</f>
        <v>#REF!</v>
      </c>
      <c r="O54" s="79" t="e">
        <f>IF(AND('Administrativo '!#REF!="Muy Baja",'Administrativo '!#REF!="Leve"),CONCATENATE("R9C",'Administrativo '!#REF!),"")</f>
        <v>#REF!</v>
      </c>
      <c r="P54" s="77" t="e">
        <f>IF(AND('Administrativo '!#REF!="Muy Baja",'Administrativo '!#REF!="Menor"),CONCATENATE("R9C",'Administrativo '!#REF!),"")</f>
        <v>#REF!</v>
      </c>
      <c r="Q54" s="78" t="e">
        <f>IF(AND('Administrativo '!#REF!="Muy Baja",'Administrativo '!#REF!="Menor"),CONCATENATE("R9C",'Administrativo '!#REF!),"")</f>
        <v>#REF!</v>
      </c>
      <c r="R54" s="78" t="e">
        <f>IF(AND('Administrativo '!#REF!="Muy Baja",'Administrativo '!#REF!="Menor"),CONCATENATE("R9C",'Administrativo '!#REF!),"")</f>
        <v>#REF!</v>
      </c>
      <c r="S54" s="78" t="e">
        <f>IF(AND('Administrativo '!#REF!="Muy Baja",'Administrativo '!#REF!="Menor"),CONCATENATE("R9C",'Administrativo '!#REF!),"")</f>
        <v>#REF!</v>
      </c>
      <c r="T54" s="78" t="e">
        <f>IF(AND('Administrativo '!#REF!="Muy Baja",'Administrativo '!#REF!="Menor"),CONCATENATE("R9C",'Administrativo '!#REF!),"")</f>
        <v>#REF!</v>
      </c>
      <c r="U54" s="79" t="e">
        <f>IF(AND('Administrativo '!#REF!="Muy Baja",'Administrativo '!#REF!="Menor"),CONCATENATE("R9C",'Administrativo '!#REF!),"")</f>
        <v>#REF!</v>
      </c>
      <c r="V54" s="68" t="e">
        <f>IF(AND('Administrativo '!#REF!="Muy Baja",'Administrativo '!#REF!="Moderado"),CONCATENATE("R9C",'Administrativo '!#REF!),"")</f>
        <v>#REF!</v>
      </c>
      <c r="W54" s="69" t="e">
        <f>IF(AND('Administrativo '!#REF!="Muy Baja",'Administrativo '!#REF!="Moderado"),CONCATENATE("R9C",'Administrativo '!#REF!),"")</f>
        <v>#REF!</v>
      </c>
      <c r="X54" s="69" t="e">
        <f>IF(AND('Administrativo '!#REF!="Muy Baja",'Administrativo '!#REF!="Moderado"),CONCATENATE("R9C",'Administrativo '!#REF!),"")</f>
        <v>#REF!</v>
      </c>
      <c r="Y54" s="69" t="e">
        <f>IF(AND('Administrativo '!#REF!="Muy Baja",'Administrativo '!#REF!="Moderado"),CONCATENATE("R9C",'Administrativo '!#REF!),"")</f>
        <v>#REF!</v>
      </c>
      <c r="Z54" s="69" t="e">
        <f>IF(AND('Administrativo '!#REF!="Muy Baja",'Administrativo '!#REF!="Moderado"),CONCATENATE("R9C",'Administrativo '!#REF!),"")</f>
        <v>#REF!</v>
      </c>
      <c r="AA54" s="70" t="e">
        <f>IF(AND('Administrativo '!#REF!="Muy Baja",'Administrativo '!#REF!="Moderado"),CONCATENATE("R9C",'Administrativo '!#REF!),"")</f>
        <v>#REF!</v>
      </c>
      <c r="AB54" s="53" t="e">
        <f>IF(AND('Administrativo '!#REF!="Muy Baja",'Administrativo '!#REF!="Mayor"),CONCATENATE("R9C",'Administrativo '!#REF!),"")</f>
        <v>#REF!</v>
      </c>
      <c r="AC54" s="54" t="e">
        <f>IF(AND('Administrativo '!#REF!="Muy Baja",'Administrativo '!#REF!="Mayor"),CONCATENATE("R9C",'Administrativo '!#REF!),"")</f>
        <v>#REF!</v>
      </c>
      <c r="AD54" s="54" t="e">
        <f>IF(AND('Administrativo '!#REF!="Muy Baja",'Administrativo '!#REF!="Mayor"),CONCATENATE("R9C",'Administrativo '!#REF!),"")</f>
        <v>#REF!</v>
      </c>
      <c r="AE54" s="54" t="e">
        <f>IF(AND('Administrativo '!#REF!="Muy Baja",'Administrativo '!#REF!="Mayor"),CONCATENATE("R9C",'Administrativo '!#REF!),"")</f>
        <v>#REF!</v>
      </c>
      <c r="AF54" s="54" t="e">
        <f>IF(AND('Administrativo '!#REF!="Muy Baja",'Administrativo '!#REF!="Mayor"),CONCATENATE("R9C",'Administrativo '!#REF!),"")</f>
        <v>#REF!</v>
      </c>
      <c r="AG54" s="55" t="e">
        <f>IF(AND('Administrativo '!#REF!="Muy Baja",'Administrativo '!#REF!="Mayor"),CONCATENATE("R9C",'Administrativo '!#REF!),"")</f>
        <v>#REF!</v>
      </c>
      <c r="AH54" s="56" t="e">
        <f>IF(AND('Administrativo '!#REF!="Muy Baja",'Administrativo '!#REF!="Catastrófico"),CONCATENATE("R9C",'Administrativo '!#REF!),"")</f>
        <v>#REF!</v>
      </c>
      <c r="AI54" s="57" t="e">
        <f>IF(AND('Administrativo '!#REF!="Muy Baja",'Administrativo '!#REF!="Catastrófico"),CONCATENATE("R9C",'Administrativo '!#REF!),"")</f>
        <v>#REF!</v>
      </c>
      <c r="AJ54" s="57" t="e">
        <f>IF(AND('Administrativo '!#REF!="Muy Baja",'Administrativo '!#REF!="Catastrófico"),CONCATENATE("R9C",'Administrativo '!#REF!),"")</f>
        <v>#REF!</v>
      </c>
      <c r="AK54" s="57" t="e">
        <f>IF(AND('Administrativo '!#REF!="Muy Baja",'Administrativo '!#REF!="Catastrófico"),CONCATENATE("R9C",'Administrativo '!#REF!),"")</f>
        <v>#REF!</v>
      </c>
      <c r="AL54" s="57" t="e">
        <f>IF(AND('Administrativo '!#REF!="Muy Baja",'Administrativo '!#REF!="Catastrófico"),CONCATENATE("R9C",'Administrativo '!#REF!),"")</f>
        <v>#REF!</v>
      </c>
      <c r="AM54" s="58" t="e">
        <f>IF(AND('Administrativo '!#REF!="Muy Baja",'Administrativo '!#REF!="Catastrófico"),CONCATENATE("R9C",'Administrativo '!#REF!),"")</f>
        <v>#REF!</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361"/>
      <c r="C55" s="361"/>
      <c r="D55" s="362"/>
      <c r="E55" s="405"/>
      <c r="F55" s="406"/>
      <c r="G55" s="406"/>
      <c r="H55" s="406"/>
      <c r="I55" s="407"/>
      <c r="J55" s="80" t="e">
        <f>IF(AND('Administrativo '!#REF!="Muy Baja",'Administrativo '!#REF!="Leve"),CONCATENATE("R10C",'Administrativo '!#REF!),"")</f>
        <v>#REF!</v>
      </c>
      <c r="K55" s="81" t="e">
        <f>IF(AND('Administrativo '!#REF!="Muy Baja",'Administrativo '!#REF!="Leve"),CONCATENATE("R10C",'Administrativo '!#REF!),"")</f>
        <v>#REF!</v>
      </c>
      <c r="L55" s="81" t="e">
        <f>IF(AND('Administrativo '!#REF!="Muy Baja",'Administrativo '!#REF!="Leve"),CONCATENATE("R10C",'Administrativo '!#REF!),"")</f>
        <v>#REF!</v>
      </c>
      <c r="M55" s="81" t="e">
        <f>IF(AND('Administrativo '!#REF!="Muy Baja",'Administrativo '!#REF!="Leve"),CONCATENATE("R10C",'Administrativo '!#REF!),"")</f>
        <v>#REF!</v>
      </c>
      <c r="N55" s="81" t="e">
        <f>IF(AND('Administrativo '!#REF!="Muy Baja",'Administrativo '!#REF!="Leve"),CONCATENATE("R10C",'Administrativo '!#REF!),"")</f>
        <v>#REF!</v>
      </c>
      <c r="O55" s="82" t="e">
        <f>IF(AND('Administrativo '!#REF!="Muy Baja",'Administrativo '!#REF!="Leve"),CONCATENATE("R10C",'Administrativo '!#REF!),"")</f>
        <v>#REF!</v>
      </c>
      <c r="P55" s="80" t="e">
        <f>IF(AND('Administrativo '!#REF!="Muy Baja",'Administrativo '!#REF!="Menor"),CONCATENATE("R10C",'Administrativo '!#REF!),"")</f>
        <v>#REF!</v>
      </c>
      <c r="Q55" s="81" t="e">
        <f>IF(AND('Administrativo '!#REF!="Muy Baja",'Administrativo '!#REF!="Menor"),CONCATENATE("R10C",'Administrativo '!#REF!),"")</f>
        <v>#REF!</v>
      </c>
      <c r="R55" s="81" t="e">
        <f>IF(AND('Administrativo '!#REF!="Muy Baja",'Administrativo '!#REF!="Menor"),CONCATENATE("R10C",'Administrativo '!#REF!),"")</f>
        <v>#REF!</v>
      </c>
      <c r="S55" s="81" t="e">
        <f>IF(AND('Administrativo '!#REF!="Muy Baja",'Administrativo '!#REF!="Menor"),CONCATENATE("R10C",'Administrativo '!#REF!),"")</f>
        <v>#REF!</v>
      </c>
      <c r="T55" s="81" t="e">
        <f>IF(AND('Administrativo '!#REF!="Muy Baja",'Administrativo '!#REF!="Menor"),CONCATENATE("R10C",'Administrativo '!#REF!),"")</f>
        <v>#REF!</v>
      </c>
      <c r="U55" s="82" t="e">
        <f>IF(AND('Administrativo '!#REF!="Muy Baja",'Administrativo '!#REF!="Menor"),CONCATENATE("R10C",'Administrativo '!#REF!),"")</f>
        <v>#REF!</v>
      </c>
      <c r="V55" s="71" t="e">
        <f>IF(AND('Administrativo '!#REF!="Muy Baja",'Administrativo '!#REF!="Moderado"),CONCATENATE("R10C",'Administrativo '!#REF!),"")</f>
        <v>#REF!</v>
      </c>
      <c r="W55" s="72" t="e">
        <f>IF(AND('Administrativo '!#REF!="Muy Baja",'Administrativo '!#REF!="Moderado"),CONCATENATE("R10C",'Administrativo '!#REF!),"")</f>
        <v>#REF!</v>
      </c>
      <c r="X55" s="72" t="e">
        <f>IF(AND('Administrativo '!#REF!="Muy Baja",'Administrativo '!#REF!="Moderado"),CONCATENATE("R10C",'Administrativo '!#REF!),"")</f>
        <v>#REF!</v>
      </c>
      <c r="Y55" s="72" t="e">
        <f>IF(AND('Administrativo '!#REF!="Muy Baja",'Administrativo '!#REF!="Moderado"),CONCATENATE("R10C",'Administrativo '!#REF!),"")</f>
        <v>#REF!</v>
      </c>
      <c r="Z55" s="72" t="e">
        <f>IF(AND('Administrativo '!#REF!="Muy Baja",'Administrativo '!#REF!="Moderado"),CONCATENATE("R10C",'Administrativo '!#REF!),"")</f>
        <v>#REF!</v>
      </c>
      <c r="AA55" s="73" t="e">
        <f>IF(AND('Administrativo '!#REF!="Muy Baja",'Administrativo '!#REF!="Moderado"),CONCATENATE("R10C",'Administrativo '!#REF!),"")</f>
        <v>#REF!</v>
      </c>
      <c r="AB55" s="59" t="e">
        <f>IF(AND('Administrativo '!#REF!="Muy Baja",'Administrativo '!#REF!="Mayor"),CONCATENATE("R10C",'Administrativo '!#REF!),"")</f>
        <v>#REF!</v>
      </c>
      <c r="AC55" s="60" t="e">
        <f>IF(AND('Administrativo '!#REF!="Muy Baja",'Administrativo '!#REF!="Mayor"),CONCATENATE("R10C",'Administrativo '!#REF!),"")</f>
        <v>#REF!</v>
      </c>
      <c r="AD55" s="60" t="e">
        <f>IF(AND('Administrativo '!#REF!="Muy Baja",'Administrativo '!#REF!="Mayor"),CONCATENATE("R10C",'Administrativo '!#REF!),"")</f>
        <v>#REF!</v>
      </c>
      <c r="AE55" s="60" t="e">
        <f>IF(AND('Administrativo '!#REF!="Muy Baja",'Administrativo '!#REF!="Mayor"),CONCATENATE("R10C",'Administrativo '!#REF!),"")</f>
        <v>#REF!</v>
      </c>
      <c r="AF55" s="60" t="e">
        <f>IF(AND('Administrativo '!#REF!="Muy Baja",'Administrativo '!#REF!="Mayor"),CONCATENATE("R10C",'Administrativo '!#REF!),"")</f>
        <v>#REF!</v>
      </c>
      <c r="AG55" s="61" t="e">
        <f>IF(AND('Administrativo '!#REF!="Muy Baja",'Administrativo '!#REF!="Mayor"),CONCATENATE("R10C",'Administrativo '!#REF!),"")</f>
        <v>#REF!</v>
      </c>
      <c r="AH55" s="62" t="e">
        <f>IF(AND('Administrativo '!#REF!="Muy Baja",'Administrativo '!#REF!="Catastrófico"),CONCATENATE("R10C",'Administrativo '!#REF!),"")</f>
        <v>#REF!</v>
      </c>
      <c r="AI55" s="63" t="e">
        <f>IF(AND('Administrativo '!#REF!="Muy Baja",'Administrativo '!#REF!="Catastrófico"),CONCATENATE("R10C",'Administrativo '!#REF!),"")</f>
        <v>#REF!</v>
      </c>
      <c r="AJ55" s="63" t="e">
        <f>IF(AND('Administrativo '!#REF!="Muy Baja",'Administrativo '!#REF!="Catastrófico"),CONCATENATE("R10C",'Administrativo '!#REF!),"")</f>
        <v>#REF!</v>
      </c>
      <c r="AK55" s="63" t="e">
        <f>IF(AND('Administrativo '!#REF!="Muy Baja",'Administrativo '!#REF!="Catastrófico"),CONCATENATE("R10C",'Administrativo '!#REF!),"")</f>
        <v>#REF!</v>
      </c>
      <c r="AL55" s="63" t="e">
        <f>IF(AND('Administrativo '!#REF!="Muy Baja",'Administrativo '!#REF!="Catastrófico"),CONCATENATE("R10C",'Administrativo '!#REF!),"")</f>
        <v>#REF!</v>
      </c>
      <c r="AM55" s="64" t="e">
        <f>IF(AND('Administrativo '!#REF!="Muy Baja",'Administrativo '!#REF!="Catastrófico"),CONCATENATE("R10C",'Administrativo '!#REF!),"")</f>
        <v>#REF!</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99" t="s">
        <v>124</v>
      </c>
      <c r="K56" s="400"/>
      <c r="L56" s="400"/>
      <c r="M56" s="400"/>
      <c r="N56" s="400"/>
      <c r="O56" s="401"/>
      <c r="P56" s="399" t="s">
        <v>125</v>
      </c>
      <c r="Q56" s="400"/>
      <c r="R56" s="400"/>
      <c r="S56" s="400"/>
      <c r="T56" s="400"/>
      <c r="U56" s="401"/>
      <c r="V56" s="399" t="s">
        <v>126</v>
      </c>
      <c r="W56" s="400"/>
      <c r="X56" s="400"/>
      <c r="Y56" s="400"/>
      <c r="Z56" s="400"/>
      <c r="AA56" s="401"/>
      <c r="AB56" s="399" t="s">
        <v>127</v>
      </c>
      <c r="AC56" s="408"/>
      <c r="AD56" s="400"/>
      <c r="AE56" s="400"/>
      <c r="AF56" s="400"/>
      <c r="AG56" s="401"/>
      <c r="AH56" s="399" t="s">
        <v>128</v>
      </c>
      <c r="AI56" s="400"/>
      <c r="AJ56" s="400"/>
      <c r="AK56" s="400"/>
      <c r="AL56" s="400"/>
      <c r="AM56" s="401"/>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402"/>
      <c r="K57" s="403"/>
      <c r="L57" s="403"/>
      <c r="M57" s="403"/>
      <c r="N57" s="403"/>
      <c r="O57" s="404"/>
      <c r="P57" s="402"/>
      <c r="Q57" s="403"/>
      <c r="R57" s="403"/>
      <c r="S57" s="403"/>
      <c r="T57" s="403"/>
      <c r="U57" s="404"/>
      <c r="V57" s="402"/>
      <c r="W57" s="403"/>
      <c r="X57" s="403"/>
      <c r="Y57" s="403"/>
      <c r="Z57" s="403"/>
      <c r="AA57" s="404"/>
      <c r="AB57" s="402"/>
      <c r="AC57" s="403"/>
      <c r="AD57" s="403"/>
      <c r="AE57" s="403"/>
      <c r="AF57" s="403"/>
      <c r="AG57" s="404"/>
      <c r="AH57" s="402"/>
      <c r="AI57" s="403"/>
      <c r="AJ57" s="403"/>
      <c r="AK57" s="403"/>
      <c r="AL57" s="403"/>
      <c r="AM57" s="40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402"/>
      <c r="K58" s="403"/>
      <c r="L58" s="403"/>
      <c r="M58" s="403"/>
      <c r="N58" s="403"/>
      <c r="O58" s="404"/>
      <c r="P58" s="402"/>
      <c r="Q58" s="403"/>
      <c r="R58" s="403"/>
      <c r="S58" s="403"/>
      <c r="T58" s="403"/>
      <c r="U58" s="404"/>
      <c r="V58" s="402"/>
      <c r="W58" s="403"/>
      <c r="X58" s="403"/>
      <c r="Y58" s="403"/>
      <c r="Z58" s="403"/>
      <c r="AA58" s="404"/>
      <c r="AB58" s="402"/>
      <c r="AC58" s="403"/>
      <c r="AD58" s="403"/>
      <c r="AE58" s="403"/>
      <c r="AF58" s="403"/>
      <c r="AG58" s="404"/>
      <c r="AH58" s="402"/>
      <c r="AI58" s="403"/>
      <c r="AJ58" s="403"/>
      <c r="AK58" s="403"/>
      <c r="AL58" s="403"/>
      <c r="AM58" s="40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402"/>
      <c r="K59" s="403"/>
      <c r="L59" s="403"/>
      <c r="M59" s="403"/>
      <c r="N59" s="403"/>
      <c r="O59" s="404"/>
      <c r="P59" s="402"/>
      <c r="Q59" s="403"/>
      <c r="R59" s="403"/>
      <c r="S59" s="403"/>
      <c r="T59" s="403"/>
      <c r="U59" s="404"/>
      <c r="V59" s="402"/>
      <c r="W59" s="403"/>
      <c r="X59" s="403"/>
      <c r="Y59" s="403"/>
      <c r="Z59" s="403"/>
      <c r="AA59" s="404"/>
      <c r="AB59" s="402"/>
      <c r="AC59" s="403"/>
      <c r="AD59" s="403"/>
      <c r="AE59" s="403"/>
      <c r="AF59" s="403"/>
      <c r="AG59" s="404"/>
      <c r="AH59" s="402"/>
      <c r="AI59" s="403"/>
      <c r="AJ59" s="403"/>
      <c r="AK59" s="403"/>
      <c r="AL59" s="403"/>
      <c r="AM59" s="40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402"/>
      <c r="K60" s="403"/>
      <c r="L60" s="403"/>
      <c r="M60" s="403"/>
      <c r="N60" s="403"/>
      <c r="O60" s="404"/>
      <c r="P60" s="402"/>
      <c r="Q60" s="403"/>
      <c r="R60" s="403"/>
      <c r="S60" s="403"/>
      <c r="T60" s="403"/>
      <c r="U60" s="404"/>
      <c r="V60" s="402"/>
      <c r="W60" s="403"/>
      <c r="X60" s="403"/>
      <c r="Y60" s="403"/>
      <c r="Z60" s="403"/>
      <c r="AA60" s="404"/>
      <c r="AB60" s="402"/>
      <c r="AC60" s="403"/>
      <c r="AD60" s="403"/>
      <c r="AE60" s="403"/>
      <c r="AF60" s="403"/>
      <c r="AG60" s="404"/>
      <c r="AH60" s="402"/>
      <c r="AI60" s="403"/>
      <c r="AJ60" s="403"/>
      <c r="AK60" s="403"/>
      <c r="AL60" s="403"/>
      <c r="AM60" s="40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405"/>
      <c r="K61" s="406"/>
      <c r="L61" s="406"/>
      <c r="M61" s="406"/>
      <c r="N61" s="406"/>
      <c r="O61" s="407"/>
      <c r="P61" s="405"/>
      <c r="Q61" s="406"/>
      <c r="R61" s="406"/>
      <c r="S61" s="406"/>
      <c r="T61" s="406"/>
      <c r="U61" s="407"/>
      <c r="V61" s="405"/>
      <c r="W61" s="406"/>
      <c r="X61" s="406"/>
      <c r="Y61" s="406"/>
      <c r="Z61" s="406"/>
      <c r="AA61" s="407"/>
      <c r="AB61" s="405"/>
      <c r="AC61" s="406"/>
      <c r="AD61" s="406"/>
      <c r="AE61" s="406"/>
      <c r="AF61" s="406"/>
      <c r="AG61" s="407"/>
      <c r="AH61" s="405"/>
      <c r="AI61" s="406"/>
      <c r="AJ61" s="406"/>
      <c r="AK61" s="406"/>
      <c r="AL61" s="406"/>
      <c r="AM61" s="407"/>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00B0F0"/>
  </sheetPr>
  <dimension ref="A1:AK55"/>
  <sheetViews>
    <sheetView zoomScale="90" zoomScaleNormal="90" workbookViewId="0">
      <selection activeCell="B3" sqref="B3:D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4"/>
      <c r="B1" s="448" t="s">
        <v>130</v>
      </c>
      <c r="C1" s="448"/>
      <c r="D1" s="448"/>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131</v>
      </c>
      <c r="D3" s="12" t="s">
        <v>114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132</v>
      </c>
      <c r="C4" s="14" t="s">
        <v>133</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134</v>
      </c>
      <c r="C5" s="17" t="s">
        <v>135</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136</v>
      </c>
      <c r="C6" s="17" t="s">
        <v>137</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138</v>
      </c>
      <c r="C7" s="17" t="s">
        <v>139</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140</v>
      </c>
      <c r="C8" s="17" t="s">
        <v>141</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7"/>
      <c r="C9" s="107"/>
      <c r="D9" s="107"/>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8"/>
      <c r="C10" s="107"/>
      <c r="D10" s="107"/>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7"/>
      <c r="C11" s="107"/>
      <c r="D11" s="107"/>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7"/>
      <c r="C12" s="107"/>
      <c r="D12" s="107"/>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7"/>
      <c r="C13" s="107"/>
      <c r="D13" s="107"/>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7"/>
      <c r="C14" s="107"/>
      <c r="D14" s="107"/>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7"/>
      <c r="C15" s="107"/>
      <c r="D15" s="107"/>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7"/>
      <c r="C16" s="107"/>
      <c r="D16" s="107"/>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7"/>
      <c r="C17" s="107"/>
      <c r="D17" s="107"/>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7"/>
      <c r="C18" s="107"/>
      <c r="D18" s="107"/>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14"/>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customWidth="1"/>
    <col min="10" max="10" width="27.140625" style="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20.7109375" style="1" customWidth="1"/>
    <col min="33" max="33" width="16.85546875" style="1" customWidth="1"/>
    <col min="34" max="34" width="14.85546875" style="1" customWidth="1"/>
    <col min="35" max="35" width="21.42578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233</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232</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231</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13"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13"/>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89</v>
      </c>
      <c r="C10" s="237" t="s">
        <v>230</v>
      </c>
      <c r="D10" s="237" t="s">
        <v>229</v>
      </c>
      <c r="E10" s="239" t="s">
        <v>228</v>
      </c>
      <c r="F10" s="237" t="s">
        <v>355</v>
      </c>
      <c r="G10" s="231">
        <v>20</v>
      </c>
      <c r="H10" s="233" t="str">
        <f>IF(G10&lt;=0,"",IF(G10&lt;=2,"Muy Baja",IF(G10&lt;=24,"Baja",IF(G10&lt;=500,"Media",IF(G10&lt;=5000,"Alta","Muy Alta")))))</f>
        <v>Baja</v>
      </c>
      <c r="I10" s="217">
        <f>IF(H10="","",IF(H10="Muy Baja",0.2,IF(H10="Baja",0.4,IF(H10="Media",0.6,IF(H10="Alta",0.8,IF(H10="Muy Alta",1,))))))</f>
        <v>0.4</v>
      </c>
      <c r="J10" s="235" t="s">
        <v>91</v>
      </c>
      <c r="K10" s="217" t="str">
        <f>IF(NOT(ISERROR(MATCH(J10,'[2]Tabla Impacto'!$B$221:$B$223,0))),'[2]Tabla Impacto'!$F$223&amp;"Por favor no seleccionar los criterios de impacto(Afectación Económica o presupuestal y Pérdida Reputacional)",J10)</f>
        <v xml:space="preserve">     El riesgo afecta la imagen de la entidad con algunos usuarios de relevancia frente al logro de los objetivos</v>
      </c>
      <c r="L10" s="233" t="str">
        <f>IF(OR(K10='[2]Tabla Impacto'!$C$11,K10='[2]Tabla Impacto'!$D$11),"Leve",IF(OR(K10='[2]Tabla Impacto'!$C$12,K10='[2]Tabla Impacto'!$D$12),"Menor",IF(OR(K10='[2]Tabla Impacto'!$C$13,K10='[2]Tabla Impacto'!$D$13),"Moderado",IF(OR(K10='[2]Tabla Impacto'!$C$14,K10='[2]Tabla Impacto'!$D$14),"Mayor",IF(OR(K10='[2]Tabla Impacto'!$C$15,K10='[2]Tabla Impacto'!$D$15),"Catastrófico","")))))</f>
        <v>Moderado</v>
      </c>
      <c r="M10" s="217">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49" t="s">
        <v>403</v>
      </c>
      <c r="Q10" s="141" t="str">
        <f t="shared" ref="Q10:Q11" si="0">IF(OR(R10="Preventivo",R10="Detectivo"),"Probabilidad",IF(R10="Correctivo","Impacto",""))</f>
        <v>Probabilidad</v>
      </c>
      <c r="R10" s="142" t="s">
        <v>92</v>
      </c>
      <c r="S10" s="142" t="s">
        <v>93</v>
      </c>
      <c r="T10" s="143" t="str">
        <f t="shared" ref="T10:T11"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0.24</v>
      </c>
      <c r="Y10" s="145" t="str">
        <f t="shared" ref="Y10:Y11" si="2">IFERROR(IF(X10="","",IF(X10&lt;=0.2,"Muy Baja",IF(X10&lt;=0.4,"Baja",IF(X10&lt;=0.6,"Media",IF(X10&lt;=0.8,"Alta","Muy Alta"))))),"")</f>
        <v>Baja</v>
      </c>
      <c r="Z10" s="146">
        <f t="shared" ref="Z10:Z11" si="3">+X10</f>
        <v>0.24</v>
      </c>
      <c r="AA10" s="145" t="str">
        <f t="shared" ref="AA10:AA11" si="4">IFERROR(IF(AB10="","",IF(AB10&lt;=0.2,"Leve",IF(AB10&lt;=0.4,"Menor",IF(AB10&lt;=0.6,"Moderado",IF(AB10&lt;=0.8,"Mayor","Catastrófico"))))),"")</f>
        <v>Moderado</v>
      </c>
      <c r="AB10" s="146">
        <f>IFERROR(IF(Q10="Impacto",(M10-(+M10*T10)),IF(Q10="Probabilidad",M10,"")),"")</f>
        <v>0.6</v>
      </c>
      <c r="AC10" s="147" t="str">
        <f t="shared" ref="AC10:AC1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97</v>
      </c>
      <c r="AE10" s="149" t="s">
        <v>391</v>
      </c>
      <c r="AF10" s="149" t="s">
        <v>330</v>
      </c>
      <c r="AG10" s="152" t="s">
        <v>477</v>
      </c>
      <c r="AH10" s="150" t="s">
        <v>470</v>
      </c>
      <c r="AI10" s="150" t="s">
        <v>430</v>
      </c>
      <c r="AJ10" s="154" t="s">
        <v>390</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49" t="s">
        <v>329</v>
      </c>
      <c r="Q11" s="141" t="str">
        <f t="shared" si="0"/>
        <v>Probabilidad</v>
      </c>
      <c r="R11" s="142" t="s">
        <v>92</v>
      </c>
      <c r="S11" s="142" t="s">
        <v>93</v>
      </c>
      <c r="T11" s="143" t="str">
        <f t="shared" si="1"/>
        <v>40%</v>
      </c>
      <c r="U11" s="142" t="s">
        <v>94</v>
      </c>
      <c r="V11" s="142" t="s">
        <v>95</v>
      </c>
      <c r="W11" s="142" t="s">
        <v>96</v>
      </c>
      <c r="X11" s="144">
        <f>IFERROR(IF(AND(Q10="Probabilidad",Q11="Probabilidad"),(Z10-(+Z10*T11)),IF(Q11="Probabilidad",(I10-(+I10*T11)),IF(Q11="Impacto",Z10,""))),"")</f>
        <v>0.14399999999999999</v>
      </c>
      <c r="Y11" s="145" t="str">
        <f t="shared" si="2"/>
        <v>Muy Baja</v>
      </c>
      <c r="Z11" s="146">
        <f t="shared" si="3"/>
        <v>0.14399999999999999</v>
      </c>
      <c r="AA11" s="145" t="str">
        <f t="shared" si="4"/>
        <v>Moderado</v>
      </c>
      <c r="AB11" s="146">
        <f>IFERROR(IF(AND(Q10="Impacto",Q11="Impacto"),(AB10-(+AB10*T11)),IF(Q11="Impacto",($M$10-(+$M$10*T11)),IF(Q11="Probabilidad",AB10,""))),"")</f>
        <v>0.6</v>
      </c>
      <c r="AC11" s="147" t="str">
        <f t="shared" si="5"/>
        <v>Moderado</v>
      </c>
      <c r="AD11" s="148" t="s">
        <v>97</v>
      </c>
      <c r="AE11" s="154" t="s">
        <v>328</v>
      </c>
      <c r="AF11" s="149" t="s">
        <v>325</v>
      </c>
      <c r="AG11" s="149" t="s">
        <v>464</v>
      </c>
      <c r="AH11" s="150" t="s">
        <v>328</v>
      </c>
      <c r="AI11" s="149" t="s">
        <v>331</v>
      </c>
      <c r="AJ11" s="154"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mergeCells count="59">
    <mergeCell ref="N10:N11"/>
    <mergeCell ref="Z8:Z9"/>
    <mergeCell ref="G8:G9"/>
    <mergeCell ref="H8:H9"/>
    <mergeCell ref="I8:I9"/>
    <mergeCell ref="L8:L9"/>
    <mergeCell ref="M8:M9"/>
    <mergeCell ref="N8:N9"/>
    <mergeCell ref="J8:J9"/>
    <mergeCell ref="K8:K9"/>
    <mergeCell ref="Q8:Q9"/>
    <mergeCell ref="I10:I11"/>
    <mergeCell ref="J10:J11"/>
    <mergeCell ref="K10:K11"/>
    <mergeCell ref="L10:L11"/>
    <mergeCell ref="M10:M11"/>
    <mergeCell ref="R8:W8"/>
    <mergeCell ref="G10:G11"/>
    <mergeCell ref="H10:H11"/>
    <mergeCell ref="AE8:AE9"/>
    <mergeCell ref="AJ8:AJ9"/>
    <mergeCell ref="AI8:AI9"/>
    <mergeCell ref="AH8:AH9"/>
    <mergeCell ref="AG8:AG9"/>
    <mergeCell ref="AF8:AF9"/>
    <mergeCell ref="AD8:AD9"/>
    <mergeCell ref="C5:N5"/>
    <mergeCell ref="C6:N6"/>
    <mergeCell ref="O8:O9"/>
    <mergeCell ref="AC8:AC9"/>
    <mergeCell ref="AB8:AB9"/>
    <mergeCell ref="X8:X9"/>
    <mergeCell ref="P8:P9"/>
    <mergeCell ref="AA8:AA9"/>
    <mergeCell ref="Y8:Y9"/>
    <mergeCell ref="A6:B6"/>
    <mergeCell ref="A8:A9"/>
    <mergeCell ref="F8:F9"/>
    <mergeCell ref="E8:E9"/>
    <mergeCell ref="D8:D9"/>
    <mergeCell ref="C8:C9"/>
    <mergeCell ref="B8:B9"/>
    <mergeCell ref="A10:A11"/>
    <mergeCell ref="B10:B11"/>
    <mergeCell ref="C10:C11"/>
    <mergeCell ref="D10:D11"/>
    <mergeCell ref="E10:E11"/>
    <mergeCell ref="F10:F11"/>
    <mergeCell ref="B12:AJ12"/>
    <mergeCell ref="C4:N4"/>
    <mergeCell ref="O4:Q4"/>
    <mergeCell ref="A1:AJ2"/>
    <mergeCell ref="A7:G7"/>
    <mergeCell ref="H7:N7"/>
    <mergeCell ref="O7:W7"/>
    <mergeCell ref="X7:AD7"/>
    <mergeCell ref="AE7:AJ7"/>
    <mergeCell ref="A4:B4"/>
    <mergeCell ref="A5:B5"/>
  </mergeCells>
  <conditionalFormatting sqref="H10 Y10:Y11">
    <cfRule type="cellIs" dxfId="402" priority="227" operator="equal">
      <formula>"Muy Alta"</formula>
    </cfRule>
    <cfRule type="cellIs" dxfId="401" priority="228" operator="equal">
      <formula>"Alta"</formula>
    </cfRule>
    <cfRule type="cellIs" dxfId="400" priority="229" operator="equal">
      <formula>"Media"</formula>
    </cfRule>
    <cfRule type="cellIs" dxfId="399" priority="230" operator="equal">
      <formula>"Baja"</formula>
    </cfRule>
    <cfRule type="cellIs" dxfId="398" priority="231" operator="equal">
      <formula>"Muy Baja"</formula>
    </cfRule>
  </conditionalFormatting>
  <conditionalFormatting sqref="K10:K11">
    <cfRule type="containsText" dxfId="397" priority="1" operator="containsText" text="❌">
      <formula>NOT(ISERROR(SEARCH("❌",K10)))</formula>
    </cfRule>
  </conditionalFormatting>
  <conditionalFormatting sqref="L10 AA10:AA11">
    <cfRule type="cellIs" dxfId="396" priority="222" operator="equal">
      <formula>"Catastrófico"</formula>
    </cfRule>
    <cfRule type="cellIs" dxfId="395" priority="223" operator="equal">
      <formula>"Mayor"</formula>
    </cfRule>
    <cfRule type="cellIs" dxfId="394" priority="224" operator="equal">
      <formula>"Moderado"</formula>
    </cfRule>
    <cfRule type="cellIs" dxfId="393" priority="225" operator="equal">
      <formula>"Menor"</formula>
    </cfRule>
    <cfRule type="cellIs" dxfId="392" priority="226" operator="equal">
      <formula>"Leve"</formula>
    </cfRule>
  </conditionalFormatting>
  <conditionalFormatting sqref="N10 AC10:AC11">
    <cfRule type="cellIs" dxfId="391" priority="218" operator="equal">
      <formula>"Extremo"</formula>
    </cfRule>
    <cfRule type="cellIs" dxfId="390" priority="219" operator="equal">
      <formula>"Alto"</formula>
    </cfRule>
    <cfRule type="cellIs" dxfId="389" priority="220" operator="equal">
      <formula>"Moderado"</formula>
    </cfRule>
    <cfRule type="cellIs" dxfId="388" priority="221" operator="equal">
      <formula>"Bajo"</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6" tint="-0.249977111117893"/>
  </sheetPr>
  <dimension ref="A1:U232"/>
  <sheetViews>
    <sheetView zoomScale="60" zoomScaleNormal="60" workbookViewId="0">
      <selection activeCell="E8" sqref="E8"/>
    </sheetView>
  </sheetViews>
  <sheetFormatPr baseColWidth="10" defaultColWidth="11.42578125" defaultRowHeight="15" x14ac:dyDescent="0.25"/>
  <cols>
    <col min="2" max="2" width="26.85546875" customWidth="1"/>
    <col min="3" max="3" width="26.140625" customWidth="1"/>
    <col min="4" max="4" width="31.85546875" customWidth="1"/>
    <col min="5" max="5" width="144.85546875" bestFit="1" customWidth="1"/>
  </cols>
  <sheetData>
    <row r="1" spans="1:21" ht="33.75" x14ac:dyDescent="0.25">
      <c r="A1" s="84"/>
      <c r="B1" s="449" t="s">
        <v>142</v>
      </c>
      <c r="C1" s="449"/>
      <c r="D1" s="449"/>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71.099999999999994" customHeight="1" x14ac:dyDescent="0.25">
      <c r="A3" s="84"/>
      <c r="B3" s="126"/>
      <c r="C3" s="127" t="s">
        <v>143</v>
      </c>
      <c r="D3" s="127" t="s">
        <v>144</v>
      </c>
      <c r="E3" s="84"/>
      <c r="F3" s="84"/>
      <c r="G3" s="84"/>
      <c r="H3" s="84"/>
      <c r="I3" s="84"/>
      <c r="J3" s="84"/>
      <c r="K3" s="84"/>
      <c r="L3" s="84"/>
      <c r="M3" s="84"/>
      <c r="N3" s="84"/>
      <c r="O3" s="84"/>
      <c r="P3" s="84"/>
      <c r="Q3" s="84"/>
      <c r="R3" s="84"/>
      <c r="S3" s="84"/>
      <c r="T3" s="84"/>
      <c r="U3" s="84"/>
    </row>
    <row r="4" spans="1:21" ht="66.599999999999994" customHeight="1" x14ac:dyDescent="0.25">
      <c r="A4" s="104" t="s">
        <v>145</v>
      </c>
      <c r="B4" s="128" t="s">
        <v>146</v>
      </c>
      <c r="C4" s="129" t="s">
        <v>147</v>
      </c>
      <c r="D4" s="130" t="s">
        <v>148</v>
      </c>
      <c r="E4" s="84"/>
      <c r="F4" s="84"/>
      <c r="G4" s="84"/>
      <c r="H4" s="84"/>
      <c r="I4" s="84"/>
      <c r="J4" s="84"/>
      <c r="K4" s="84"/>
      <c r="L4" s="84"/>
      <c r="M4" s="84"/>
      <c r="N4" s="84"/>
      <c r="O4" s="84"/>
      <c r="P4" s="84"/>
      <c r="Q4" s="84"/>
      <c r="R4" s="84"/>
      <c r="S4" s="84"/>
      <c r="T4" s="84"/>
      <c r="U4" s="84"/>
    </row>
    <row r="5" spans="1:21" ht="125.1" customHeight="1" x14ac:dyDescent="0.25">
      <c r="A5" s="104" t="s">
        <v>149</v>
      </c>
      <c r="B5" s="131" t="s">
        <v>150</v>
      </c>
      <c r="C5" s="132" t="s">
        <v>151</v>
      </c>
      <c r="D5" s="133" t="s">
        <v>152</v>
      </c>
      <c r="E5" s="84"/>
      <c r="F5" s="84"/>
      <c r="G5" s="84"/>
      <c r="H5" s="84"/>
      <c r="I5" s="84"/>
      <c r="J5" s="84"/>
      <c r="K5" s="84"/>
      <c r="L5" s="84"/>
      <c r="M5" s="84"/>
      <c r="N5" s="84"/>
      <c r="O5" s="84"/>
      <c r="P5" s="84"/>
      <c r="Q5" s="84"/>
      <c r="R5" s="84"/>
      <c r="S5" s="84"/>
      <c r="T5" s="84"/>
      <c r="U5" s="84"/>
    </row>
    <row r="6" spans="1:21" ht="101.1" customHeight="1" x14ac:dyDescent="0.25">
      <c r="A6" s="104" t="s">
        <v>120</v>
      </c>
      <c r="B6" s="134" t="s">
        <v>153</v>
      </c>
      <c r="C6" s="132" t="s">
        <v>154</v>
      </c>
      <c r="D6" s="133" t="s">
        <v>155</v>
      </c>
      <c r="E6" s="84"/>
      <c r="F6" s="84"/>
      <c r="G6" s="84"/>
      <c r="H6" s="84"/>
      <c r="I6" s="84"/>
      <c r="J6" s="84"/>
      <c r="K6" s="84"/>
      <c r="L6" s="84"/>
      <c r="M6" s="84"/>
      <c r="N6" s="84"/>
      <c r="O6" s="84"/>
      <c r="P6" s="84"/>
      <c r="Q6" s="84"/>
      <c r="R6" s="84"/>
      <c r="S6" s="84"/>
      <c r="T6" s="84"/>
      <c r="U6" s="84"/>
    </row>
    <row r="7" spans="1:21" ht="122.1" customHeight="1" x14ac:dyDescent="0.25">
      <c r="A7" s="104" t="s">
        <v>156</v>
      </c>
      <c r="B7" s="135" t="s">
        <v>157</v>
      </c>
      <c r="C7" s="132" t="s">
        <v>158</v>
      </c>
      <c r="D7" s="133" t="s">
        <v>159</v>
      </c>
      <c r="E7" s="84"/>
      <c r="F7" s="84"/>
      <c r="G7" s="84"/>
      <c r="H7" s="84"/>
      <c r="I7" s="84"/>
      <c r="J7" s="84"/>
      <c r="K7" s="84"/>
      <c r="L7" s="84"/>
      <c r="M7" s="84"/>
      <c r="N7" s="84"/>
      <c r="O7" s="84"/>
      <c r="P7" s="84"/>
      <c r="Q7" s="84"/>
      <c r="R7" s="84"/>
      <c r="S7" s="84"/>
      <c r="T7" s="84"/>
      <c r="U7" s="84"/>
    </row>
    <row r="8" spans="1:21" ht="93" customHeight="1" x14ac:dyDescent="0.25">
      <c r="A8" s="104" t="s">
        <v>160</v>
      </c>
      <c r="B8" s="136" t="s">
        <v>161</v>
      </c>
      <c r="C8" s="132" t="s">
        <v>162</v>
      </c>
      <c r="D8" s="133" t="s">
        <v>163</v>
      </c>
      <c r="E8" s="84"/>
      <c r="F8" s="84"/>
      <c r="G8" s="84"/>
      <c r="H8" s="84"/>
      <c r="I8" s="84"/>
      <c r="J8" s="84"/>
      <c r="K8" s="84"/>
      <c r="L8" s="84"/>
      <c r="M8" s="84"/>
      <c r="N8" s="84"/>
      <c r="O8" s="84"/>
      <c r="P8" s="84"/>
      <c r="Q8" s="84"/>
      <c r="R8" s="84"/>
      <c r="S8" s="84"/>
      <c r="T8" s="84"/>
      <c r="U8" s="84"/>
    </row>
    <row r="9" spans="1:21" ht="20.25" x14ac:dyDescent="0.25">
      <c r="A9" s="104"/>
      <c r="B9" s="104"/>
      <c r="C9" s="105"/>
      <c r="D9" s="105"/>
      <c r="E9" s="84"/>
      <c r="F9" s="84"/>
      <c r="G9" s="84"/>
      <c r="H9" s="84"/>
      <c r="I9" s="84"/>
      <c r="J9" s="84"/>
      <c r="K9" s="84"/>
      <c r="L9" s="84"/>
      <c r="M9" s="84"/>
      <c r="N9" s="84"/>
      <c r="O9" s="84"/>
      <c r="P9" s="84"/>
      <c r="Q9" s="84"/>
      <c r="R9" s="84"/>
      <c r="S9" s="84"/>
      <c r="T9" s="84"/>
      <c r="U9" s="84"/>
    </row>
    <row r="10" spans="1:21" ht="16.5" x14ac:dyDescent="0.25">
      <c r="A10" s="104"/>
      <c r="B10" s="106"/>
      <c r="C10" s="106"/>
      <c r="D10" s="106"/>
      <c r="E10" s="84"/>
      <c r="F10" s="84"/>
      <c r="G10" s="84"/>
      <c r="H10" s="84"/>
      <c r="I10" s="84"/>
      <c r="J10" s="84"/>
      <c r="K10" s="84"/>
      <c r="L10" s="84"/>
      <c r="M10" s="84"/>
      <c r="N10" s="84"/>
      <c r="O10" s="84"/>
      <c r="P10" s="84"/>
      <c r="Q10" s="84"/>
      <c r="R10" s="84"/>
      <c r="S10" s="84"/>
      <c r="T10" s="84"/>
      <c r="U10" s="84"/>
    </row>
    <row r="11" spans="1:21" x14ac:dyDescent="0.25">
      <c r="A11" s="104"/>
      <c r="B11" s="104" t="s">
        <v>164</v>
      </c>
      <c r="C11" s="104" t="s">
        <v>165</v>
      </c>
      <c r="D11" s="104" t="s">
        <v>107</v>
      </c>
      <c r="E11" s="84"/>
      <c r="F11" s="84"/>
      <c r="G11" s="84"/>
      <c r="H11" s="84"/>
      <c r="I11" s="84"/>
      <c r="J11" s="84"/>
      <c r="K11" s="84"/>
      <c r="L11" s="84"/>
      <c r="M11" s="84"/>
      <c r="N11" s="84"/>
      <c r="O11" s="84"/>
      <c r="P11" s="84"/>
      <c r="Q11" s="84"/>
      <c r="R11" s="84"/>
      <c r="S11" s="84"/>
      <c r="T11" s="84"/>
      <c r="U11" s="84"/>
    </row>
    <row r="12" spans="1:21" x14ac:dyDescent="0.25">
      <c r="A12" s="104"/>
      <c r="B12" s="104" t="s">
        <v>166</v>
      </c>
      <c r="C12" s="104" t="s">
        <v>110</v>
      </c>
      <c r="D12" s="104" t="s">
        <v>167</v>
      </c>
      <c r="E12" s="84"/>
      <c r="F12" s="84"/>
      <c r="G12" s="84"/>
      <c r="H12" s="84"/>
      <c r="I12" s="84"/>
      <c r="J12" s="84"/>
      <c r="K12" s="84"/>
      <c r="L12" s="84"/>
      <c r="M12" s="84"/>
      <c r="N12" s="84"/>
      <c r="O12" s="84"/>
      <c r="P12" s="84"/>
      <c r="Q12" s="84"/>
      <c r="R12" s="84"/>
      <c r="S12" s="84"/>
      <c r="T12" s="84"/>
      <c r="U12" s="84"/>
    </row>
    <row r="13" spans="1:21" x14ac:dyDescent="0.25">
      <c r="A13" s="104"/>
      <c r="B13" s="104"/>
      <c r="C13" s="104" t="s">
        <v>168</v>
      </c>
      <c r="D13" s="104" t="s">
        <v>91</v>
      </c>
      <c r="E13" s="84"/>
      <c r="F13" s="84"/>
      <c r="G13" s="84"/>
      <c r="H13" s="84"/>
      <c r="I13" s="84"/>
      <c r="J13" s="84"/>
      <c r="K13" s="84"/>
      <c r="L13" s="84"/>
      <c r="M13" s="84"/>
      <c r="N13" s="84"/>
      <c r="O13" s="84"/>
      <c r="P13" s="84"/>
      <c r="Q13" s="84"/>
      <c r="R13" s="84"/>
      <c r="S13" s="84"/>
      <c r="T13" s="84"/>
      <c r="U13" s="84"/>
    </row>
    <row r="14" spans="1:21" x14ac:dyDescent="0.25">
      <c r="A14" s="104"/>
      <c r="B14" s="104"/>
      <c r="C14" s="104" t="s">
        <v>169</v>
      </c>
      <c r="D14" s="104" t="s">
        <v>104</v>
      </c>
      <c r="E14" s="84"/>
      <c r="F14" s="84"/>
      <c r="G14" s="84"/>
      <c r="H14" s="84"/>
      <c r="I14" s="84"/>
      <c r="J14" s="84"/>
      <c r="K14" s="84"/>
      <c r="L14" s="84"/>
      <c r="M14" s="84"/>
      <c r="N14" s="84"/>
      <c r="O14" s="84"/>
      <c r="P14" s="84"/>
      <c r="Q14" s="84"/>
      <c r="R14" s="84"/>
      <c r="S14" s="84"/>
      <c r="T14" s="84"/>
      <c r="U14" s="84"/>
    </row>
    <row r="15" spans="1:21" x14ac:dyDescent="0.25">
      <c r="A15" s="104"/>
      <c r="B15" s="104"/>
      <c r="C15" s="104" t="s">
        <v>170</v>
      </c>
      <c r="D15" s="104" t="s">
        <v>101</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7"/>
      <c r="C18" s="107"/>
      <c r="D18" s="107"/>
      <c r="E18" s="84"/>
      <c r="F18" s="84"/>
      <c r="G18" s="84"/>
      <c r="H18" s="84"/>
      <c r="I18" s="84"/>
      <c r="J18" s="84"/>
      <c r="K18" s="84"/>
      <c r="L18" s="84"/>
      <c r="M18" s="84"/>
      <c r="N18" s="84"/>
      <c r="O18" s="84"/>
    </row>
    <row r="19" spans="1:15" x14ac:dyDescent="0.25">
      <c r="A19" s="104"/>
      <c r="B19" s="107"/>
      <c r="C19" s="107"/>
      <c r="D19" s="107"/>
      <c r="E19" s="84"/>
      <c r="F19" s="84"/>
      <c r="G19" s="84"/>
      <c r="H19" s="84"/>
      <c r="I19" s="84"/>
      <c r="J19" s="84"/>
      <c r="K19" s="84"/>
      <c r="L19" s="84"/>
      <c r="M19" s="84"/>
      <c r="N19" s="84"/>
      <c r="O19" s="84"/>
    </row>
    <row r="20" spans="1:15" x14ac:dyDescent="0.25">
      <c r="A20" s="104"/>
      <c r="B20" s="107"/>
      <c r="C20" s="107"/>
      <c r="D20" s="107"/>
      <c r="E20" s="84"/>
      <c r="F20" s="84"/>
      <c r="G20" s="84"/>
      <c r="H20" s="84"/>
      <c r="I20" s="84"/>
      <c r="J20" s="84"/>
      <c r="K20" s="84"/>
      <c r="L20" s="84"/>
      <c r="M20" s="84"/>
      <c r="N20" s="84"/>
      <c r="O20" s="84"/>
    </row>
    <row r="21" spans="1:15" x14ac:dyDescent="0.25">
      <c r="A21" s="104"/>
      <c r="B21" s="107"/>
      <c r="C21" s="107"/>
      <c r="D21" s="107"/>
      <c r="E21" s="84"/>
      <c r="F21" s="84"/>
      <c r="G21" s="84"/>
      <c r="H21" s="84"/>
      <c r="I21" s="84"/>
      <c r="J21" s="84"/>
      <c r="K21" s="84"/>
      <c r="L21" s="84"/>
      <c r="M21" s="84"/>
      <c r="N21" s="84"/>
      <c r="O21" s="84"/>
    </row>
    <row r="22" spans="1:15" ht="20.25" x14ac:dyDescent="0.25">
      <c r="A22" s="104"/>
      <c r="B22" s="104"/>
      <c r="C22" s="105"/>
      <c r="D22" s="105"/>
      <c r="E22" s="84"/>
      <c r="F22" s="84"/>
      <c r="G22" s="84"/>
      <c r="H22" s="84"/>
      <c r="I22" s="84"/>
      <c r="J22" s="84"/>
      <c r="K22" s="84"/>
      <c r="L22" s="84"/>
      <c r="M22" s="84"/>
      <c r="N22" s="84"/>
      <c r="O22" s="84"/>
    </row>
    <row r="23" spans="1:15" ht="20.25" x14ac:dyDescent="0.25">
      <c r="A23" s="104"/>
      <c r="B23" s="104"/>
      <c r="C23" s="105"/>
      <c r="D23" s="105"/>
      <c r="E23" s="84"/>
      <c r="F23" s="84"/>
      <c r="G23" s="84"/>
      <c r="H23" s="84"/>
      <c r="I23" s="84"/>
      <c r="J23" s="84"/>
      <c r="K23" s="84"/>
      <c r="L23" s="84"/>
      <c r="M23" s="84"/>
      <c r="N23" s="84"/>
      <c r="O23" s="84"/>
    </row>
    <row r="24" spans="1:15" ht="20.25" x14ac:dyDescent="0.25">
      <c r="A24" s="104"/>
      <c r="B24" s="104"/>
      <c r="C24" s="105"/>
      <c r="D24" s="105"/>
      <c r="E24" s="84"/>
      <c r="F24" s="84"/>
      <c r="G24" s="84"/>
      <c r="H24" s="84"/>
      <c r="I24" s="84"/>
      <c r="J24" s="84"/>
      <c r="K24" s="84"/>
      <c r="L24" s="84"/>
      <c r="M24" s="84"/>
      <c r="N24" s="84"/>
      <c r="O24" s="84"/>
    </row>
    <row r="25" spans="1:15" ht="20.25" x14ac:dyDescent="0.25">
      <c r="A25" s="104"/>
      <c r="B25" s="104"/>
      <c r="C25" s="105"/>
      <c r="D25" s="105"/>
      <c r="E25" s="84"/>
      <c r="F25" s="84"/>
      <c r="G25" s="84"/>
      <c r="H25" s="84"/>
      <c r="I25" s="84"/>
      <c r="J25" s="84"/>
      <c r="K25" s="84"/>
      <c r="L25" s="84"/>
      <c r="M25" s="84"/>
      <c r="N25" s="84"/>
      <c r="O25" s="84"/>
    </row>
    <row r="26" spans="1:15" ht="20.25" x14ac:dyDescent="0.25">
      <c r="A26" s="104"/>
      <c r="B26" s="104"/>
      <c r="C26" s="105"/>
      <c r="D26" s="105"/>
      <c r="E26" s="84"/>
      <c r="F26" s="84"/>
      <c r="G26" s="84"/>
      <c r="H26" s="84"/>
      <c r="I26" s="84"/>
      <c r="J26" s="84"/>
      <c r="K26" s="84"/>
      <c r="L26" s="84"/>
      <c r="M26" s="84"/>
      <c r="N26" s="84"/>
      <c r="O26" s="84"/>
    </row>
    <row r="27" spans="1:15" ht="20.25" x14ac:dyDescent="0.25">
      <c r="A27" s="104"/>
      <c r="B27" s="104"/>
      <c r="C27" s="105"/>
      <c r="D27" s="105"/>
      <c r="E27" s="84"/>
      <c r="F27" s="84"/>
      <c r="G27" s="84"/>
      <c r="H27" s="84"/>
      <c r="I27" s="84"/>
      <c r="J27" s="84"/>
      <c r="K27" s="84"/>
      <c r="L27" s="84"/>
      <c r="M27" s="84"/>
      <c r="N27" s="84"/>
      <c r="O27" s="84"/>
    </row>
    <row r="28" spans="1:15" ht="20.25" x14ac:dyDescent="0.25">
      <c r="A28" s="104"/>
      <c r="B28" s="104"/>
      <c r="C28" s="105"/>
      <c r="D28" s="105"/>
      <c r="E28" s="84"/>
      <c r="F28" s="84"/>
      <c r="G28" s="84"/>
      <c r="H28" s="84"/>
      <c r="I28" s="84"/>
      <c r="J28" s="84"/>
      <c r="K28" s="84"/>
      <c r="L28" s="84"/>
      <c r="M28" s="84"/>
      <c r="N28" s="84"/>
      <c r="O28" s="84"/>
    </row>
    <row r="29" spans="1:15" ht="20.25" x14ac:dyDescent="0.25">
      <c r="A29" s="104"/>
      <c r="B29" s="104"/>
      <c r="C29" s="105"/>
      <c r="D29" s="105"/>
      <c r="E29" s="84"/>
      <c r="F29" s="84"/>
      <c r="G29" s="84"/>
      <c r="H29" s="84"/>
      <c r="I29" s="84"/>
      <c r="J29" s="84"/>
      <c r="K29" s="84"/>
      <c r="L29" s="84"/>
      <c r="M29" s="84"/>
      <c r="N29" s="84"/>
      <c r="O29" s="84"/>
    </row>
    <row r="30" spans="1:15" ht="20.25" x14ac:dyDescent="0.25">
      <c r="A30" s="104"/>
      <c r="B30" s="104"/>
      <c r="C30" s="105"/>
      <c r="D30" s="105"/>
      <c r="E30" s="84"/>
      <c r="F30" s="84"/>
      <c r="G30" s="84"/>
      <c r="H30" s="84"/>
      <c r="I30" s="84"/>
      <c r="J30" s="84"/>
      <c r="K30" s="84"/>
      <c r="L30" s="84"/>
      <c r="M30" s="84"/>
      <c r="N30" s="84"/>
      <c r="O30" s="84"/>
    </row>
    <row r="31" spans="1:15" ht="20.25" x14ac:dyDescent="0.25">
      <c r="A31" s="104"/>
      <c r="B31" s="104"/>
      <c r="C31" s="105"/>
      <c r="D31" s="105"/>
      <c r="E31" s="84"/>
      <c r="F31" s="84"/>
      <c r="G31" s="84"/>
      <c r="H31" s="84"/>
      <c r="I31" s="84"/>
      <c r="J31" s="84"/>
      <c r="K31" s="84"/>
      <c r="L31" s="84"/>
      <c r="M31" s="84"/>
      <c r="N31" s="84"/>
      <c r="O31" s="84"/>
    </row>
    <row r="32" spans="1:15" ht="20.25" x14ac:dyDescent="0.25">
      <c r="A32" s="104"/>
      <c r="B32" s="104"/>
      <c r="C32" s="105"/>
      <c r="D32" s="105"/>
      <c r="E32" s="84"/>
      <c r="F32" s="84"/>
      <c r="G32" s="84"/>
      <c r="H32" s="84"/>
      <c r="I32" s="84"/>
      <c r="J32" s="84"/>
      <c r="K32" s="84"/>
      <c r="L32" s="84"/>
      <c r="M32" s="84"/>
      <c r="N32" s="84"/>
      <c r="O32" s="84"/>
    </row>
    <row r="33" spans="1:15" ht="20.25" x14ac:dyDescent="0.25">
      <c r="A33" s="104"/>
      <c r="B33" s="104"/>
      <c r="C33" s="105"/>
      <c r="D33" s="105"/>
      <c r="E33" s="84"/>
      <c r="F33" s="84"/>
      <c r="G33" s="84"/>
      <c r="H33" s="84"/>
      <c r="I33" s="84"/>
      <c r="J33" s="84"/>
      <c r="K33" s="84"/>
      <c r="L33" s="84"/>
      <c r="M33" s="84"/>
      <c r="N33" s="84"/>
      <c r="O33" s="84"/>
    </row>
    <row r="34" spans="1:15" ht="20.25" x14ac:dyDescent="0.25">
      <c r="A34" s="104"/>
      <c r="B34" s="104"/>
      <c r="C34" s="105"/>
      <c r="D34" s="105"/>
      <c r="E34" s="84"/>
      <c r="F34" s="84"/>
      <c r="G34" s="84"/>
      <c r="H34" s="84"/>
      <c r="I34" s="84"/>
      <c r="J34" s="84"/>
      <c r="K34" s="84"/>
      <c r="L34" s="84"/>
      <c r="M34" s="84"/>
      <c r="N34" s="84"/>
      <c r="O34" s="84"/>
    </row>
    <row r="35" spans="1:15" ht="20.25" x14ac:dyDescent="0.25">
      <c r="A35" s="104"/>
      <c r="B35" s="104"/>
      <c r="C35" s="105"/>
      <c r="D35" s="105"/>
      <c r="E35" s="84"/>
      <c r="F35" s="84"/>
      <c r="G35" s="84"/>
      <c r="H35" s="84"/>
      <c r="I35" s="84"/>
      <c r="J35" s="84"/>
      <c r="K35" s="84"/>
      <c r="L35" s="84"/>
      <c r="M35" s="84"/>
      <c r="N35" s="84"/>
      <c r="O35" s="84"/>
    </row>
    <row r="36" spans="1:15" ht="20.25" x14ac:dyDescent="0.25">
      <c r="A36" s="104"/>
      <c r="B36" s="104"/>
      <c r="C36" s="105"/>
      <c r="D36" s="105"/>
      <c r="E36" s="84"/>
      <c r="F36" s="84"/>
      <c r="G36" s="84"/>
      <c r="H36" s="84"/>
      <c r="I36" s="84"/>
      <c r="J36" s="84"/>
      <c r="K36" s="84"/>
      <c r="L36" s="84"/>
      <c r="M36" s="84"/>
      <c r="N36" s="84"/>
      <c r="O36" s="84"/>
    </row>
    <row r="37" spans="1:15" ht="20.25" x14ac:dyDescent="0.25">
      <c r="A37" s="104"/>
      <c r="B37" s="104"/>
      <c r="C37" s="105"/>
      <c r="D37" s="105"/>
      <c r="E37" s="84"/>
      <c r="F37" s="84"/>
      <c r="G37" s="84"/>
      <c r="H37" s="84"/>
      <c r="I37" s="84"/>
      <c r="J37" s="84"/>
      <c r="K37" s="84"/>
      <c r="L37" s="84"/>
      <c r="M37" s="84"/>
      <c r="N37" s="84"/>
      <c r="O37" s="84"/>
    </row>
    <row r="38" spans="1:15" ht="20.25" x14ac:dyDescent="0.25">
      <c r="A38" s="104"/>
      <c r="B38" s="104"/>
      <c r="C38" s="105"/>
      <c r="D38" s="105"/>
      <c r="E38" s="84"/>
      <c r="F38" s="84"/>
      <c r="G38" s="84"/>
      <c r="H38" s="84"/>
      <c r="I38" s="84"/>
      <c r="J38" s="84"/>
      <c r="K38" s="84"/>
      <c r="L38" s="84"/>
      <c r="M38" s="84"/>
      <c r="N38" s="84"/>
      <c r="O38" s="84"/>
    </row>
    <row r="39" spans="1:15" ht="20.25" x14ac:dyDescent="0.25">
      <c r="A39" s="104"/>
      <c r="B39" s="104"/>
      <c r="C39" s="105"/>
      <c r="D39" s="105"/>
      <c r="E39" s="84"/>
      <c r="F39" s="84"/>
      <c r="G39" s="84"/>
      <c r="H39" s="84"/>
      <c r="I39" s="84"/>
      <c r="J39" s="84"/>
      <c r="K39" s="84"/>
      <c r="L39" s="84"/>
      <c r="M39" s="84"/>
      <c r="N39" s="84"/>
      <c r="O39" s="84"/>
    </row>
    <row r="40" spans="1:15" ht="20.25" x14ac:dyDescent="0.25">
      <c r="A40" s="104"/>
      <c r="B40" s="104"/>
      <c r="C40" s="105"/>
      <c r="D40" s="105"/>
      <c r="E40" s="84"/>
      <c r="F40" s="84"/>
      <c r="G40" s="84"/>
      <c r="H40" s="84"/>
      <c r="I40" s="84"/>
      <c r="J40" s="84"/>
      <c r="K40" s="84"/>
      <c r="L40" s="84"/>
      <c r="M40" s="84"/>
      <c r="N40" s="84"/>
      <c r="O40" s="84"/>
    </row>
    <row r="41" spans="1:15" ht="20.25" x14ac:dyDescent="0.25">
      <c r="A41" s="104"/>
      <c r="B41" s="104"/>
      <c r="C41" s="105"/>
      <c r="D41" s="105"/>
      <c r="E41" s="84"/>
      <c r="F41" s="84"/>
      <c r="G41" s="84"/>
      <c r="H41" s="84"/>
      <c r="I41" s="84"/>
      <c r="J41" s="84"/>
      <c r="K41" s="84"/>
      <c r="L41" s="84"/>
      <c r="M41" s="84"/>
      <c r="N41" s="84"/>
      <c r="O41" s="84"/>
    </row>
    <row r="42" spans="1:15" ht="20.25" x14ac:dyDescent="0.25">
      <c r="A42" s="104"/>
      <c r="B42" s="104"/>
      <c r="C42" s="105"/>
      <c r="D42" s="105"/>
      <c r="E42" s="84"/>
      <c r="F42" s="84"/>
      <c r="G42" s="84"/>
      <c r="H42" s="84"/>
      <c r="I42" s="84"/>
      <c r="J42" s="84"/>
      <c r="K42" s="84"/>
      <c r="L42" s="84"/>
      <c r="M42" s="84"/>
      <c r="N42" s="84"/>
      <c r="O42" s="84"/>
    </row>
    <row r="43" spans="1:15" ht="20.25" x14ac:dyDescent="0.25">
      <c r="A43" s="104"/>
      <c r="B43" s="104"/>
      <c r="C43" s="105"/>
      <c r="D43" s="105"/>
      <c r="E43" s="84"/>
      <c r="F43" s="84"/>
      <c r="G43" s="84"/>
      <c r="H43" s="84"/>
      <c r="I43" s="84"/>
      <c r="J43" s="84"/>
      <c r="K43" s="84"/>
      <c r="L43" s="84"/>
      <c r="M43" s="84"/>
      <c r="N43" s="84"/>
      <c r="O43" s="84"/>
    </row>
    <row r="44" spans="1:15" ht="20.25" x14ac:dyDescent="0.25">
      <c r="A44" s="104"/>
      <c r="B44" s="104"/>
      <c r="C44" s="105"/>
      <c r="D44" s="105"/>
      <c r="E44" s="84"/>
      <c r="F44" s="84"/>
      <c r="G44" s="84"/>
      <c r="H44" s="84"/>
      <c r="I44" s="84"/>
      <c r="J44" s="84"/>
      <c r="K44" s="84"/>
      <c r="L44" s="84"/>
      <c r="M44" s="84"/>
      <c r="N44" s="84"/>
      <c r="O44" s="84"/>
    </row>
    <row r="45" spans="1:15" ht="20.25" x14ac:dyDescent="0.25">
      <c r="A45" s="104"/>
      <c r="B45" s="104"/>
      <c r="C45" s="105"/>
      <c r="D45" s="105"/>
      <c r="E45" s="84"/>
      <c r="F45" s="84"/>
      <c r="G45" s="84"/>
      <c r="H45" s="84"/>
      <c r="I45" s="84"/>
      <c r="J45" s="84"/>
      <c r="K45" s="84"/>
      <c r="L45" s="84"/>
      <c r="M45" s="84"/>
      <c r="N45" s="84"/>
      <c r="O45" s="84"/>
    </row>
    <row r="46" spans="1:15" ht="20.25" x14ac:dyDescent="0.25">
      <c r="A46" s="104"/>
      <c r="B46" s="104"/>
      <c r="C46" s="105"/>
      <c r="D46" s="105"/>
      <c r="E46" s="84"/>
      <c r="F46" s="84"/>
      <c r="G46" s="84"/>
      <c r="H46" s="84"/>
      <c r="I46" s="84"/>
      <c r="J46" s="84"/>
      <c r="K46" s="84"/>
      <c r="L46" s="84"/>
      <c r="M46" s="84"/>
      <c r="N46" s="84"/>
      <c r="O46" s="84"/>
    </row>
    <row r="47" spans="1:15" ht="20.25" x14ac:dyDescent="0.25">
      <c r="A47" s="104"/>
      <c r="B47" s="104"/>
      <c r="C47" s="105"/>
      <c r="D47" s="105"/>
      <c r="E47" s="84"/>
      <c r="F47" s="84"/>
      <c r="G47" s="84"/>
      <c r="H47" s="84"/>
      <c r="I47" s="84"/>
      <c r="J47" s="84"/>
      <c r="K47" s="84"/>
      <c r="L47" s="84"/>
      <c r="M47" s="84"/>
      <c r="N47" s="84"/>
      <c r="O47" s="84"/>
    </row>
    <row r="48" spans="1:15" ht="20.25" x14ac:dyDescent="0.25">
      <c r="A48" s="104"/>
      <c r="B48" s="104"/>
      <c r="C48" s="105"/>
      <c r="D48" s="105"/>
      <c r="E48" s="84"/>
      <c r="F48" s="84"/>
      <c r="G48" s="84"/>
      <c r="H48" s="84"/>
      <c r="I48" s="84"/>
      <c r="J48" s="84"/>
      <c r="K48" s="84"/>
      <c r="L48" s="84"/>
      <c r="M48" s="84"/>
      <c r="N48" s="84"/>
      <c r="O48" s="84"/>
    </row>
    <row r="49" spans="1:15" ht="20.25" x14ac:dyDescent="0.25">
      <c r="A49" s="104"/>
      <c r="B49" s="104"/>
      <c r="C49" s="105"/>
      <c r="D49" s="105"/>
      <c r="E49" s="84"/>
      <c r="F49" s="84"/>
      <c r="G49" s="84"/>
      <c r="H49" s="84"/>
      <c r="I49" s="84"/>
      <c r="J49" s="84"/>
      <c r="K49" s="84"/>
      <c r="L49" s="84"/>
      <c r="M49" s="84"/>
      <c r="N49" s="84"/>
      <c r="O49" s="84"/>
    </row>
    <row r="50" spans="1:15" ht="20.25" x14ac:dyDescent="0.25">
      <c r="A50" s="104"/>
      <c r="B50" s="104"/>
      <c r="C50" s="105"/>
      <c r="D50" s="105"/>
      <c r="E50" s="84"/>
      <c r="F50" s="84"/>
      <c r="G50" s="84"/>
      <c r="H50" s="84"/>
      <c r="I50" s="84"/>
      <c r="J50" s="84"/>
      <c r="K50" s="84"/>
      <c r="L50" s="84"/>
      <c r="M50" s="84"/>
      <c r="N50" s="84"/>
      <c r="O50" s="84"/>
    </row>
    <row r="51" spans="1:15" ht="20.25" x14ac:dyDescent="0.25">
      <c r="A51" s="104"/>
      <c r="B51" s="104"/>
      <c r="C51" s="105"/>
      <c r="D51" s="105"/>
      <c r="E51" s="84"/>
      <c r="F51" s="84"/>
      <c r="G51" s="84"/>
      <c r="H51" s="84"/>
      <c r="I51" s="84"/>
      <c r="J51" s="84"/>
      <c r="K51" s="84"/>
      <c r="L51" s="84"/>
      <c r="M51" s="84"/>
      <c r="N51" s="84"/>
      <c r="O51" s="84"/>
    </row>
    <row r="52" spans="1:15" ht="20.25" x14ac:dyDescent="0.25">
      <c r="A52" s="104"/>
      <c r="B52" s="23"/>
      <c r="C52" s="35"/>
      <c r="D52" s="35"/>
    </row>
    <row r="53" spans="1:15" ht="20.25" x14ac:dyDescent="0.25">
      <c r="A53" s="104"/>
      <c r="B53" s="23"/>
      <c r="C53" s="35"/>
      <c r="D53" s="35"/>
    </row>
    <row r="54" spans="1:15" ht="20.25" x14ac:dyDescent="0.25">
      <c r="A54" s="104"/>
      <c r="B54" s="23"/>
      <c r="C54" s="35"/>
      <c r="D54" s="35"/>
    </row>
    <row r="55" spans="1:15" ht="20.25" x14ac:dyDescent="0.25">
      <c r="A55" s="104"/>
      <c r="B55" s="23"/>
      <c r="C55" s="35"/>
      <c r="D55" s="35"/>
    </row>
    <row r="56" spans="1:15" ht="20.25" x14ac:dyDescent="0.25">
      <c r="A56" s="104"/>
      <c r="B56" s="23"/>
      <c r="C56" s="35"/>
      <c r="D56" s="35"/>
    </row>
    <row r="57" spans="1:15" ht="20.25" x14ac:dyDescent="0.25">
      <c r="A57" s="104"/>
      <c r="B57" s="23"/>
      <c r="C57" s="35"/>
      <c r="D57" s="35"/>
    </row>
    <row r="58" spans="1:15" ht="20.25" x14ac:dyDescent="0.25">
      <c r="A58" s="104"/>
      <c r="B58" s="23"/>
      <c r="C58" s="35"/>
      <c r="D58" s="35"/>
    </row>
    <row r="59" spans="1:15" ht="20.25" x14ac:dyDescent="0.25">
      <c r="A59" s="104"/>
      <c r="B59" s="23"/>
      <c r="C59" s="35"/>
      <c r="D59" s="35"/>
    </row>
    <row r="60" spans="1:15" ht="20.25" x14ac:dyDescent="0.25">
      <c r="A60" s="104"/>
      <c r="B60" s="23"/>
      <c r="C60" s="35"/>
      <c r="D60" s="35"/>
    </row>
    <row r="61" spans="1:15" ht="20.25" x14ac:dyDescent="0.25">
      <c r="A61" s="104"/>
      <c r="B61" s="23"/>
      <c r="C61" s="35"/>
      <c r="D61" s="35"/>
    </row>
    <row r="62" spans="1:15" ht="20.25" x14ac:dyDescent="0.25">
      <c r="A62" s="104"/>
      <c r="B62" s="23"/>
      <c r="C62" s="35"/>
      <c r="D62" s="35"/>
    </row>
    <row r="63" spans="1:15" ht="20.25" x14ac:dyDescent="0.25">
      <c r="A63" s="104"/>
      <c r="B63" s="23"/>
      <c r="C63" s="35"/>
      <c r="D63" s="35"/>
    </row>
    <row r="64" spans="1:15" ht="20.25" x14ac:dyDescent="0.25">
      <c r="A64" s="104"/>
      <c r="B64" s="23"/>
      <c r="C64" s="35"/>
      <c r="D64" s="35"/>
    </row>
    <row r="65" spans="1:4" ht="20.25" x14ac:dyDescent="0.25">
      <c r="A65" s="104"/>
      <c r="B65" s="23"/>
      <c r="C65" s="35"/>
      <c r="D65" s="35"/>
    </row>
    <row r="66" spans="1:4" ht="20.25" x14ac:dyDescent="0.25">
      <c r="A66" s="104"/>
      <c r="B66" s="23"/>
      <c r="C66" s="35"/>
      <c r="D66" s="35"/>
    </row>
    <row r="67" spans="1:4" ht="20.25" x14ac:dyDescent="0.25">
      <c r="A67" s="104"/>
      <c r="B67" s="23"/>
      <c r="C67" s="35"/>
      <c r="D67" s="35"/>
    </row>
    <row r="68" spans="1:4" ht="20.25" x14ac:dyDescent="0.25">
      <c r="A68" s="104"/>
      <c r="B68" s="23"/>
      <c r="C68" s="35"/>
      <c r="D68" s="35"/>
    </row>
    <row r="69" spans="1:4" ht="20.25" x14ac:dyDescent="0.25">
      <c r="A69" s="104"/>
      <c r="B69" s="23"/>
      <c r="C69" s="35"/>
      <c r="D69" s="35"/>
    </row>
    <row r="70" spans="1:4" ht="20.25" x14ac:dyDescent="0.25">
      <c r="A70" s="104"/>
      <c r="B70" s="23"/>
      <c r="C70" s="35"/>
      <c r="D70" s="35"/>
    </row>
    <row r="71" spans="1:4" ht="20.25" x14ac:dyDescent="0.25">
      <c r="A71" s="104"/>
      <c r="B71" s="23"/>
      <c r="C71" s="35"/>
      <c r="D71" s="35"/>
    </row>
    <row r="72" spans="1:4" ht="20.25" x14ac:dyDescent="0.25">
      <c r="A72" s="104"/>
      <c r="B72" s="23"/>
      <c r="C72" s="35"/>
      <c r="D72" s="35"/>
    </row>
    <row r="73" spans="1:4" ht="20.25" x14ac:dyDescent="0.25">
      <c r="A73" s="104"/>
      <c r="B73" s="23"/>
      <c r="C73" s="35"/>
      <c r="D73" s="35"/>
    </row>
    <row r="74" spans="1:4" ht="20.25" x14ac:dyDescent="0.25">
      <c r="A74" s="104"/>
      <c r="B74" s="23"/>
      <c r="C74" s="35"/>
      <c r="D74" s="35"/>
    </row>
    <row r="75" spans="1:4" ht="20.25" x14ac:dyDescent="0.25">
      <c r="A75" s="104"/>
      <c r="B75" s="23"/>
      <c r="C75" s="35"/>
      <c r="D75" s="35"/>
    </row>
    <row r="76" spans="1:4" ht="20.25" x14ac:dyDescent="0.25">
      <c r="A76" s="104"/>
      <c r="B76" s="23"/>
      <c r="C76" s="35"/>
      <c r="D76" s="35"/>
    </row>
    <row r="77" spans="1:4" ht="20.25" x14ac:dyDescent="0.25">
      <c r="A77" s="104"/>
      <c r="B77" s="23"/>
      <c r="C77" s="35"/>
      <c r="D77" s="35"/>
    </row>
    <row r="78" spans="1:4" ht="20.25" x14ac:dyDescent="0.25">
      <c r="A78" s="104"/>
      <c r="B78" s="23"/>
      <c r="C78" s="35"/>
      <c r="D78" s="35"/>
    </row>
    <row r="79" spans="1:4" ht="20.25" x14ac:dyDescent="0.25">
      <c r="A79" s="104"/>
      <c r="B79" s="23"/>
      <c r="C79" s="35"/>
      <c r="D79" s="35"/>
    </row>
    <row r="80" spans="1:4" ht="20.25" x14ac:dyDescent="0.25">
      <c r="A80" s="104"/>
      <c r="B80" s="23"/>
      <c r="C80" s="35"/>
      <c r="D80" s="35"/>
    </row>
    <row r="81" spans="1:4" ht="20.25" x14ac:dyDescent="0.25">
      <c r="A81" s="104"/>
      <c r="B81" s="23"/>
      <c r="C81" s="35"/>
      <c r="D81" s="35"/>
    </row>
    <row r="82" spans="1:4" ht="20.25" x14ac:dyDescent="0.25">
      <c r="A82" s="104"/>
      <c r="B82" s="23"/>
      <c r="C82" s="35"/>
      <c r="D82" s="35"/>
    </row>
    <row r="83" spans="1:4" ht="20.25" x14ac:dyDescent="0.25">
      <c r="A83" s="104"/>
      <c r="B83" s="23"/>
      <c r="C83" s="35"/>
      <c r="D83" s="35"/>
    </row>
    <row r="84" spans="1:4" ht="20.25" x14ac:dyDescent="0.25">
      <c r="A84" s="104"/>
      <c r="B84" s="23"/>
      <c r="C84" s="35"/>
      <c r="D84" s="35"/>
    </row>
    <row r="85" spans="1:4" ht="20.25" x14ac:dyDescent="0.25">
      <c r="A85" s="104"/>
      <c r="B85" s="23"/>
      <c r="C85" s="35"/>
      <c r="D85" s="35"/>
    </row>
    <row r="86" spans="1:4" ht="20.25" x14ac:dyDescent="0.25">
      <c r="A86" s="104"/>
      <c r="B86" s="23"/>
      <c r="C86" s="35"/>
      <c r="D86" s="35"/>
    </row>
    <row r="87" spans="1:4" ht="20.25" x14ac:dyDescent="0.25">
      <c r="A87" s="104"/>
      <c r="B87" s="23"/>
      <c r="C87" s="35"/>
      <c r="D87" s="35"/>
    </row>
    <row r="88" spans="1:4" ht="20.25" x14ac:dyDescent="0.25">
      <c r="A88" s="104"/>
      <c r="B88" s="23"/>
      <c r="C88" s="35"/>
      <c r="D88" s="35"/>
    </row>
    <row r="89" spans="1:4" ht="20.25" x14ac:dyDescent="0.25">
      <c r="A89" s="104"/>
      <c r="B89" s="23"/>
      <c r="C89" s="35"/>
      <c r="D89" s="35"/>
    </row>
    <row r="90" spans="1:4" ht="20.25" x14ac:dyDescent="0.25">
      <c r="A90" s="104"/>
      <c r="B90" s="23"/>
      <c r="C90" s="35"/>
      <c r="D90" s="35"/>
    </row>
    <row r="91" spans="1:4" ht="20.25" x14ac:dyDescent="0.25">
      <c r="A91" s="104"/>
      <c r="B91" s="23"/>
      <c r="C91" s="35"/>
      <c r="D91" s="35"/>
    </row>
    <row r="92" spans="1:4" ht="20.25" x14ac:dyDescent="0.25">
      <c r="A92" s="104"/>
      <c r="B92" s="23"/>
      <c r="C92" s="35"/>
      <c r="D92" s="35"/>
    </row>
    <row r="93" spans="1:4" ht="20.25" x14ac:dyDescent="0.25">
      <c r="A93" s="104"/>
      <c r="B93" s="23"/>
      <c r="C93" s="35"/>
      <c r="D93" s="35"/>
    </row>
    <row r="94" spans="1:4" ht="20.25" x14ac:dyDescent="0.25">
      <c r="A94" s="104"/>
      <c r="B94" s="23"/>
      <c r="C94" s="35"/>
      <c r="D94" s="35"/>
    </row>
    <row r="95" spans="1:4" ht="20.25" x14ac:dyDescent="0.25">
      <c r="A95" s="104"/>
      <c r="B95" s="23"/>
      <c r="C95" s="35"/>
      <c r="D95" s="35"/>
    </row>
    <row r="96" spans="1:4" ht="20.25" x14ac:dyDescent="0.25">
      <c r="A96" s="104"/>
      <c r="B96" s="23"/>
      <c r="C96" s="35"/>
      <c r="D96" s="35"/>
    </row>
    <row r="97" spans="1:4" ht="20.25" x14ac:dyDescent="0.25">
      <c r="A97" s="104"/>
      <c r="B97" s="23"/>
      <c r="C97" s="35"/>
      <c r="D97" s="35"/>
    </row>
    <row r="98" spans="1:4" ht="20.25" x14ac:dyDescent="0.25">
      <c r="A98" s="104"/>
      <c r="B98" s="23"/>
      <c r="C98" s="35"/>
      <c r="D98" s="35"/>
    </row>
    <row r="99" spans="1:4" ht="20.25" x14ac:dyDescent="0.25">
      <c r="A99" s="104"/>
      <c r="B99" s="23"/>
      <c r="C99" s="35"/>
      <c r="D99" s="35"/>
    </row>
    <row r="100" spans="1:4" ht="20.25" x14ac:dyDescent="0.25">
      <c r="A100" s="104"/>
      <c r="B100" s="23"/>
      <c r="C100" s="35"/>
      <c r="D100" s="35"/>
    </row>
    <row r="101" spans="1:4" ht="20.25" x14ac:dyDescent="0.25">
      <c r="A101" s="104"/>
      <c r="B101" s="23"/>
      <c r="C101" s="35"/>
      <c r="D101" s="35"/>
    </row>
    <row r="102" spans="1:4" ht="20.25" x14ac:dyDescent="0.25">
      <c r="A102" s="104"/>
      <c r="B102" s="23"/>
      <c r="C102" s="35"/>
      <c r="D102" s="35"/>
    </row>
    <row r="103" spans="1:4" ht="20.25" x14ac:dyDescent="0.25">
      <c r="A103" s="104"/>
      <c r="B103" s="23"/>
      <c r="C103" s="35"/>
      <c r="D103" s="35"/>
    </row>
    <row r="104" spans="1:4" ht="20.25" x14ac:dyDescent="0.25">
      <c r="A104" s="104"/>
      <c r="B104" s="23"/>
      <c r="C104" s="35"/>
      <c r="D104" s="35"/>
    </row>
    <row r="105" spans="1:4" ht="20.25" x14ac:dyDescent="0.25">
      <c r="A105" s="104"/>
      <c r="B105" s="23"/>
      <c r="C105" s="35"/>
      <c r="D105" s="35"/>
    </row>
    <row r="106" spans="1:4" ht="20.25" x14ac:dyDescent="0.25">
      <c r="A106" s="104"/>
      <c r="B106" s="23"/>
      <c r="C106" s="35"/>
      <c r="D106" s="35"/>
    </row>
    <row r="107" spans="1:4" ht="20.25" x14ac:dyDescent="0.25">
      <c r="A107" s="104"/>
      <c r="B107" s="23"/>
      <c r="C107" s="35"/>
      <c r="D107" s="35"/>
    </row>
    <row r="108" spans="1:4" ht="20.25" x14ac:dyDescent="0.25">
      <c r="A108" s="104"/>
      <c r="B108" s="23"/>
      <c r="C108" s="35"/>
      <c r="D108" s="35"/>
    </row>
    <row r="109" spans="1:4" ht="20.25" x14ac:dyDescent="0.25">
      <c r="A109" s="104"/>
      <c r="B109" s="23"/>
      <c r="C109" s="35"/>
      <c r="D109" s="35"/>
    </row>
    <row r="110" spans="1:4" ht="20.25" x14ac:dyDescent="0.25">
      <c r="A110" s="104"/>
      <c r="B110" s="23"/>
      <c r="C110" s="35"/>
      <c r="D110" s="35"/>
    </row>
    <row r="111" spans="1:4" ht="20.25" x14ac:dyDescent="0.25">
      <c r="A111" s="104"/>
      <c r="B111" s="23"/>
      <c r="C111" s="35"/>
      <c r="D111" s="35"/>
    </row>
    <row r="112" spans="1:4" ht="20.25" x14ac:dyDescent="0.25">
      <c r="A112" s="104"/>
      <c r="B112" s="23"/>
      <c r="C112" s="35"/>
      <c r="D112" s="35"/>
    </row>
    <row r="113" spans="1:4" ht="20.25" x14ac:dyDescent="0.25">
      <c r="A113" s="104"/>
      <c r="B113" s="23"/>
      <c r="C113" s="35"/>
      <c r="D113" s="35"/>
    </row>
    <row r="114" spans="1:4" ht="20.25" x14ac:dyDescent="0.25">
      <c r="A114" s="104"/>
      <c r="B114" s="23"/>
      <c r="C114" s="35"/>
      <c r="D114" s="35"/>
    </row>
    <row r="115" spans="1:4" ht="20.25" x14ac:dyDescent="0.25">
      <c r="A115" s="104"/>
      <c r="B115" s="23"/>
      <c r="C115" s="35"/>
      <c r="D115" s="35"/>
    </row>
    <row r="116" spans="1:4" ht="20.25" x14ac:dyDescent="0.25">
      <c r="A116" s="104"/>
      <c r="B116" s="23"/>
      <c r="C116" s="35"/>
      <c r="D116" s="35"/>
    </row>
    <row r="117" spans="1:4" ht="20.25" x14ac:dyDescent="0.25">
      <c r="A117" s="104"/>
      <c r="B117" s="23"/>
      <c r="C117" s="35"/>
      <c r="D117" s="35"/>
    </row>
    <row r="118" spans="1:4" ht="20.25" x14ac:dyDescent="0.25">
      <c r="A118" s="104"/>
      <c r="B118" s="23"/>
      <c r="C118" s="35"/>
      <c r="D118" s="35"/>
    </row>
    <row r="119" spans="1:4" ht="20.25" x14ac:dyDescent="0.25">
      <c r="A119" s="104"/>
      <c r="B119" s="23"/>
      <c r="C119" s="35"/>
      <c r="D119" s="35"/>
    </row>
    <row r="120" spans="1:4" ht="20.25" x14ac:dyDescent="0.25">
      <c r="A120" s="104"/>
      <c r="B120" s="23"/>
      <c r="C120" s="35"/>
      <c r="D120" s="35"/>
    </row>
    <row r="121" spans="1:4" ht="20.25" x14ac:dyDescent="0.25">
      <c r="A121" s="104"/>
      <c r="B121" s="23"/>
      <c r="C121" s="35"/>
      <c r="D121" s="35"/>
    </row>
    <row r="122" spans="1:4" ht="20.25" x14ac:dyDescent="0.25">
      <c r="A122" s="104"/>
      <c r="B122" s="23"/>
      <c r="C122" s="35"/>
      <c r="D122" s="35"/>
    </row>
    <row r="123" spans="1:4" ht="20.25" x14ac:dyDescent="0.25">
      <c r="A123" s="104"/>
      <c r="B123" s="23"/>
      <c r="C123" s="35"/>
      <c r="D123" s="35"/>
    </row>
    <row r="124" spans="1:4" ht="20.25" x14ac:dyDescent="0.25">
      <c r="A124" s="104"/>
      <c r="B124" s="23"/>
      <c r="C124" s="35"/>
      <c r="D124" s="35"/>
    </row>
    <row r="125" spans="1:4" ht="20.25" x14ac:dyDescent="0.25">
      <c r="A125" s="104"/>
      <c r="B125" s="23"/>
      <c r="C125" s="35"/>
      <c r="D125" s="35"/>
    </row>
    <row r="126" spans="1:4" ht="20.25" x14ac:dyDescent="0.25">
      <c r="A126" s="104"/>
      <c r="B126" s="23"/>
      <c r="C126" s="35"/>
      <c r="D126" s="35"/>
    </row>
    <row r="127" spans="1:4" ht="20.25" x14ac:dyDescent="0.25">
      <c r="A127" s="104"/>
      <c r="B127" s="23"/>
      <c r="C127" s="35"/>
      <c r="D127" s="35"/>
    </row>
    <row r="128" spans="1:4" ht="20.25" x14ac:dyDescent="0.25">
      <c r="A128" s="104"/>
      <c r="B128" s="23"/>
      <c r="C128" s="35"/>
      <c r="D128" s="35"/>
    </row>
    <row r="129" spans="1:4" ht="20.25" x14ac:dyDescent="0.25">
      <c r="A129" s="104"/>
      <c r="B129" s="23"/>
      <c r="C129" s="35"/>
      <c r="D129" s="35"/>
    </row>
    <row r="130" spans="1:4" ht="20.25" x14ac:dyDescent="0.25">
      <c r="A130" s="104"/>
      <c r="B130" s="23"/>
      <c r="C130" s="35"/>
      <c r="D130" s="35"/>
    </row>
    <row r="131" spans="1:4" ht="20.25" x14ac:dyDescent="0.25">
      <c r="A131" s="104"/>
      <c r="B131" s="23"/>
      <c r="C131" s="35"/>
      <c r="D131" s="35"/>
    </row>
    <row r="132" spans="1:4" ht="20.25" x14ac:dyDescent="0.25">
      <c r="A132" s="104"/>
      <c r="B132" s="23"/>
      <c r="C132" s="35"/>
      <c r="D132" s="35"/>
    </row>
    <row r="133" spans="1:4" ht="20.25" x14ac:dyDescent="0.25">
      <c r="A133" s="104"/>
      <c r="B133" s="23"/>
      <c r="C133" s="35"/>
      <c r="D133" s="35"/>
    </row>
    <row r="134" spans="1:4" ht="20.25" x14ac:dyDescent="0.25">
      <c r="A134" s="104"/>
      <c r="B134" s="23"/>
      <c r="C134" s="35"/>
      <c r="D134" s="35"/>
    </row>
    <row r="135" spans="1:4" ht="20.25" x14ac:dyDescent="0.25">
      <c r="A135" s="104"/>
      <c r="B135" s="23"/>
      <c r="C135" s="35"/>
      <c r="D135" s="35"/>
    </row>
    <row r="136" spans="1:4" ht="20.25" x14ac:dyDescent="0.25">
      <c r="A136" s="104"/>
      <c r="B136" s="23"/>
      <c r="C136" s="35"/>
      <c r="D136" s="35"/>
    </row>
    <row r="137" spans="1:4" ht="20.25" x14ac:dyDescent="0.25">
      <c r="A137" s="104"/>
      <c r="B137" s="23"/>
      <c r="C137" s="35"/>
      <c r="D137" s="35"/>
    </row>
    <row r="138" spans="1:4" ht="20.25" x14ac:dyDescent="0.25">
      <c r="A138" s="104"/>
      <c r="B138" s="23"/>
      <c r="C138" s="35"/>
      <c r="D138" s="35"/>
    </row>
    <row r="139" spans="1:4" ht="20.25" x14ac:dyDescent="0.25">
      <c r="A139" s="104"/>
      <c r="B139" s="23"/>
      <c r="C139" s="35"/>
      <c r="D139" s="35"/>
    </row>
    <row r="140" spans="1:4" ht="20.25" x14ac:dyDescent="0.25">
      <c r="A140" s="104"/>
      <c r="B140" s="23"/>
      <c r="C140" s="35"/>
      <c r="D140" s="35"/>
    </row>
    <row r="141" spans="1:4" ht="20.25" x14ac:dyDescent="0.25">
      <c r="A141" s="104"/>
      <c r="B141" s="23"/>
      <c r="C141" s="35"/>
      <c r="D141" s="35"/>
    </row>
    <row r="142" spans="1:4" ht="20.25" x14ac:dyDescent="0.25">
      <c r="A142" s="104"/>
      <c r="B142" s="23"/>
      <c r="C142" s="35"/>
      <c r="D142" s="35"/>
    </row>
    <row r="143" spans="1:4" ht="20.25" x14ac:dyDescent="0.25">
      <c r="A143" s="104"/>
      <c r="B143" s="23"/>
      <c r="C143" s="35"/>
      <c r="D143" s="35"/>
    </row>
    <row r="144" spans="1:4" ht="20.25" x14ac:dyDescent="0.25">
      <c r="A144" s="104"/>
      <c r="B144" s="23"/>
      <c r="C144" s="35"/>
      <c r="D144" s="35"/>
    </row>
    <row r="145" spans="1:4" ht="20.25" x14ac:dyDescent="0.25">
      <c r="A145" s="104"/>
      <c r="B145" s="23"/>
      <c r="C145" s="35"/>
      <c r="D145" s="35"/>
    </row>
    <row r="146" spans="1:4" ht="20.25" x14ac:dyDescent="0.25">
      <c r="A146" s="104"/>
      <c r="B146" s="23"/>
      <c r="C146" s="35"/>
      <c r="D146" s="35"/>
    </row>
    <row r="147" spans="1:4" ht="20.25" x14ac:dyDescent="0.25">
      <c r="A147" s="104"/>
      <c r="B147" s="23"/>
      <c r="C147" s="35"/>
      <c r="D147" s="35"/>
    </row>
    <row r="148" spans="1:4" ht="20.25" x14ac:dyDescent="0.25">
      <c r="A148" s="104"/>
      <c r="B148" s="23"/>
      <c r="C148" s="35"/>
      <c r="D148" s="35"/>
    </row>
    <row r="149" spans="1:4" ht="20.25" x14ac:dyDescent="0.25">
      <c r="A149" s="104"/>
      <c r="B149" s="23"/>
      <c r="C149" s="35"/>
      <c r="D149" s="35"/>
    </row>
    <row r="150" spans="1:4" ht="20.25" x14ac:dyDescent="0.25">
      <c r="A150" s="104"/>
      <c r="B150" s="23"/>
      <c r="C150" s="35"/>
      <c r="D150" s="35"/>
    </row>
    <row r="151" spans="1:4" ht="20.25" x14ac:dyDescent="0.25">
      <c r="A151" s="104"/>
      <c r="B151" s="23"/>
      <c r="C151" s="35"/>
      <c r="D151" s="35"/>
    </row>
    <row r="152" spans="1:4" ht="20.25" x14ac:dyDescent="0.25">
      <c r="A152" s="104"/>
      <c r="B152" s="23"/>
      <c r="C152" s="35"/>
      <c r="D152" s="35"/>
    </row>
    <row r="153" spans="1:4" ht="20.25" x14ac:dyDescent="0.25">
      <c r="A153" s="104"/>
      <c r="B153" s="23"/>
      <c r="C153" s="35"/>
      <c r="D153" s="35"/>
    </row>
    <row r="154" spans="1:4" ht="20.25" x14ac:dyDescent="0.25">
      <c r="A154" s="104"/>
      <c r="B154" s="23"/>
      <c r="C154" s="35"/>
      <c r="D154" s="35"/>
    </row>
    <row r="155" spans="1:4" ht="20.25" x14ac:dyDescent="0.25">
      <c r="A155" s="104"/>
      <c r="B155" s="23"/>
      <c r="C155" s="35"/>
      <c r="D155" s="35"/>
    </row>
    <row r="156" spans="1:4" ht="20.25" x14ac:dyDescent="0.25">
      <c r="A156" s="104"/>
      <c r="B156" s="23"/>
      <c r="C156" s="35"/>
      <c r="D156" s="35"/>
    </row>
    <row r="157" spans="1:4" ht="20.25" x14ac:dyDescent="0.25">
      <c r="A157" s="104"/>
      <c r="B157" s="23"/>
      <c r="C157" s="35"/>
      <c r="D157" s="35"/>
    </row>
    <row r="158" spans="1:4" ht="20.25" x14ac:dyDescent="0.25">
      <c r="A158" s="104"/>
      <c r="B158" s="23"/>
      <c r="C158" s="35"/>
      <c r="D158" s="35"/>
    </row>
    <row r="159" spans="1:4" ht="20.25" x14ac:dyDescent="0.25">
      <c r="A159" s="104"/>
      <c r="B159" s="23"/>
      <c r="C159" s="35"/>
      <c r="D159" s="35"/>
    </row>
    <row r="160" spans="1:4" ht="20.25" x14ac:dyDescent="0.25">
      <c r="A160" s="104"/>
      <c r="B160" s="23"/>
      <c r="C160" s="35"/>
      <c r="D160" s="35"/>
    </row>
    <row r="161" spans="1:4" ht="20.25" x14ac:dyDescent="0.25">
      <c r="A161" s="104"/>
      <c r="B161" s="23"/>
      <c r="C161" s="35"/>
      <c r="D161" s="35"/>
    </row>
    <row r="162" spans="1:4" ht="20.25" x14ac:dyDescent="0.25">
      <c r="A162" s="104"/>
      <c r="B162" s="23"/>
      <c r="C162" s="35"/>
      <c r="D162" s="35"/>
    </row>
    <row r="163" spans="1:4" ht="20.25" x14ac:dyDescent="0.25">
      <c r="A163" s="104"/>
      <c r="B163" s="23"/>
      <c r="C163" s="35"/>
      <c r="D163" s="35"/>
    </row>
    <row r="164" spans="1:4" ht="20.25" x14ac:dyDescent="0.25">
      <c r="A164" s="104"/>
      <c r="B164" s="23"/>
      <c r="C164" s="35"/>
      <c r="D164" s="35"/>
    </row>
    <row r="165" spans="1:4" ht="20.25" x14ac:dyDescent="0.25">
      <c r="A165" s="104"/>
      <c r="B165" s="23"/>
      <c r="C165" s="35"/>
      <c r="D165" s="35"/>
    </row>
    <row r="166" spans="1:4" ht="20.25" x14ac:dyDescent="0.25">
      <c r="A166" s="104"/>
      <c r="B166" s="23"/>
      <c r="C166" s="35"/>
      <c r="D166" s="35"/>
    </row>
    <row r="167" spans="1:4" ht="20.25" x14ac:dyDescent="0.25">
      <c r="A167" s="104"/>
      <c r="B167" s="23"/>
      <c r="C167" s="35"/>
      <c r="D167" s="35"/>
    </row>
    <row r="168" spans="1:4" ht="20.25" x14ac:dyDescent="0.25">
      <c r="A168" s="104"/>
      <c r="B168" s="23"/>
      <c r="C168" s="35"/>
      <c r="D168" s="35"/>
    </row>
    <row r="169" spans="1:4" ht="20.25" x14ac:dyDescent="0.25">
      <c r="A169" s="104"/>
      <c r="B169" s="23"/>
      <c r="C169" s="35"/>
      <c r="D169" s="35"/>
    </row>
    <row r="170" spans="1:4" ht="20.25" x14ac:dyDescent="0.25">
      <c r="A170" s="104"/>
      <c r="B170" s="23"/>
      <c r="C170" s="35"/>
      <c r="D170" s="35"/>
    </row>
    <row r="171" spans="1:4" ht="20.25" x14ac:dyDescent="0.25">
      <c r="A171" s="104"/>
      <c r="B171" s="23"/>
      <c r="C171" s="35"/>
      <c r="D171" s="35"/>
    </row>
    <row r="172" spans="1:4" ht="20.25" x14ac:dyDescent="0.25">
      <c r="A172" s="104"/>
      <c r="B172" s="23"/>
      <c r="C172" s="35"/>
      <c r="D172" s="35"/>
    </row>
    <row r="173" spans="1:4" ht="20.25" x14ac:dyDescent="0.25">
      <c r="A173" s="104"/>
      <c r="B173" s="23"/>
      <c r="C173" s="35"/>
      <c r="D173" s="35"/>
    </row>
    <row r="174" spans="1:4" ht="20.25" x14ac:dyDescent="0.25">
      <c r="A174" s="104"/>
      <c r="B174" s="23"/>
      <c r="C174" s="35"/>
      <c r="D174" s="35"/>
    </row>
    <row r="175" spans="1:4" ht="20.25" x14ac:dyDescent="0.25">
      <c r="A175" s="104"/>
      <c r="B175" s="23"/>
      <c r="C175" s="35"/>
      <c r="D175" s="35"/>
    </row>
    <row r="176" spans="1:4" ht="20.25" x14ac:dyDescent="0.25">
      <c r="A176" s="104"/>
      <c r="B176" s="23"/>
      <c r="C176" s="35"/>
      <c r="D176" s="35"/>
    </row>
    <row r="177" spans="1:4" ht="20.25" x14ac:dyDescent="0.25">
      <c r="A177" s="104"/>
      <c r="B177" s="23"/>
      <c r="C177" s="35"/>
      <c r="D177" s="35"/>
    </row>
    <row r="178" spans="1:4" ht="20.25" x14ac:dyDescent="0.25">
      <c r="A178" s="104"/>
      <c r="B178" s="23"/>
      <c r="C178" s="35"/>
      <c r="D178" s="35"/>
    </row>
    <row r="179" spans="1:4" ht="20.25" x14ac:dyDescent="0.25">
      <c r="A179" s="104"/>
      <c r="B179" s="23"/>
      <c r="C179" s="35"/>
      <c r="D179" s="35"/>
    </row>
    <row r="180" spans="1:4" ht="20.25" x14ac:dyDescent="0.25">
      <c r="A180" s="104"/>
      <c r="B180" s="23"/>
      <c r="C180" s="35"/>
      <c r="D180" s="35"/>
    </row>
    <row r="181" spans="1:4" ht="20.25" x14ac:dyDescent="0.25">
      <c r="A181" s="104"/>
      <c r="B181" s="23"/>
      <c r="C181" s="35"/>
      <c r="D181" s="35"/>
    </row>
    <row r="182" spans="1:4" ht="20.25" x14ac:dyDescent="0.25">
      <c r="A182" s="104"/>
      <c r="B182" s="23"/>
      <c r="C182" s="35"/>
      <c r="D182" s="35"/>
    </row>
    <row r="183" spans="1:4" ht="20.25" x14ac:dyDescent="0.25">
      <c r="A183" s="104"/>
      <c r="B183" s="23"/>
      <c r="C183" s="35"/>
      <c r="D183" s="35"/>
    </row>
    <row r="184" spans="1:4" ht="20.25" x14ac:dyDescent="0.25">
      <c r="A184" s="104"/>
      <c r="B184" s="23"/>
      <c r="C184" s="35"/>
      <c r="D184" s="35"/>
    </row>
    <row r="185" spans="1:4" ht="20.25" x14ac:dyDescent="0.25">
      <c r="A185" s="104"/>
      <c r="B185" s="23"/>
      <c r="C185" s="35"/>
      <c r="D185" s="35"/>
    </row>
    <row r="186" spans="1:4" ht="20.25" x14ac:dyDescent="0.25">
      <c r="A186" s="104"/>
      <c r="B186" s="23"/>
      <c r="C186" s="35"/>
      <c r="D186" s="35"/>
    </row>
    <row r="187" spans="1:4" ht="20.25" x14ac:dyDescent="0.25">
      <c r="A187" s="104"/>
      <c r="B187" s="23"/>
      <c r="C187" s="35"/>
      <c r="D187" s="35"/>
    </row>
    <row r="188" spans="1:4" ht="20.25" x14ac:dyDescent="0.25">
      <c r="A188" s="104"/>
      <c r="B188" s="23"/>
      <c r="C188" s="35"/>
      <c r="D188" s="35"/>
    </row>
    <row r="189" spans="1:4" ht="20.25" x14ac:dyDescent="0.25">
      <c r="A189" s="104"/>
      <c r="B189" s="23"/>
      <c r="C189" s="35"/>
      <c r="D189" s="35"/>
    </row>
    <row r="190" spans="1:4" ht="20.25" x14ac:dyDescent="0.25">
      <c r="A190" s="104"/>
      <c r="B190" s="23"/>
      <c r="C190" s="35"/>
      <c r="D190" s="35"/>
    </row>
    <row r="191" spans="1:4" ht="20.25" x14ac:dyDescent="0.25">
      <c r="A191" s="104"/>
      <c r="B191" s="23"/>
      <c r="C191" s="35"/>
      <c r="D191" s="35"/>
    </row>
    <row r="192" spans="1:4" ht="20.25" x14ac:dyDescent="0.25">
      <c r="A192" s="104"/>
      <c r="B192" s="23"/>
      <c r="C192" s="35"/>
      <c r="D192" s="35"/>
    </row>
    <row r="193" spans="1:4" ht="20.25" x14ac:dyDescent="0.25">
      <c r="A193" s="104"/>
      <c r="B193" s="23"/>
      <c r="C193" s="35"/>
      <c r="D193" s="35"/>
    </row>
    <row r="194" spans="1:4" ht="20.25" x14ac:dyDescent="0.25">
      <c r="A194" s="104"/>
      <c r="B194" s="23"/>
      <c r="C194" s="35"/>
      <c r="D194" s="35"/>
    </row>
    <row r="195" spans="1:4" ht="20.25" x14ac:dyDescent="0.25">
      <c r="A195" s="104"/>
      <c r="B195" s="23"/>
      <c r="C195" s="35"/>
      <c r="D195" s="35"/>
    </row>
    <row r="196" spans="1:4" ht="20.25" x14ac:dyDescent="0.25">
      <c r="A196" s="104"/>
      <c r="B196" s="23"/>
      <c r="C196" s="35"/>
      <c r="D196" s="35"/>
    </row>
    <row r="197" spans="1:4" ht="20.25" x14ac:dyDescent="0.25">
      <c r="A197" s="104"/>
      <c r="B197" s="23"/>
      <c r="C197" s="35"/>
      <c r="D197" s="35"/>
    </row>
    <row r="198" spans="1:4" ht="20.25" x14ac:dyDescent="0.25">
      <c r="A198" s="104"/>
      <c r="B198" s="23"/>
      <c r="C198" s="35"/>
      <c r="D198" s="35"/>
    </row>
    <row r="199" spans="1:4" ht="20.25" x14ac:dyDescent="0.25">
      <c r="A199" s="104"/>
      <c r="B199" s="23"/>
      <c r="C199" s="35"/>
      <c r="D199" s="35"/>
    </row>
    <row r="200" spans="1:4" ht="20.25" x14ac:dyDescent="0.25">
      <c r="A200" s="104"/>
      <c r="B200" s="23"/>
      <c r="C200" s="35"/>
      <c r="D200" s="35"/>
    </row>
    <row r="201" spans="1:4" ht="20.25" x14ac:dyDescent="0.25">
      <c r="A201" s="104"/>
      <c r="B201" s="23"/>
      <c r="C201" s="35"/>
      <c r="D201" s="35"/>
    </row>
    <row r="202" spans="1:4" ht="20.25" x14ac:dyDescent="0.25">
      <c r="A202" s="104"/>
      <c r="B202" s="23"/>
      <c r="C202" s="35"/>
      <c r="D202" s="35"/>
    </row>
    <row r="203" spans="1:4" ht="20.25" x14ac:dyDescent="0.25">
      <c r="A203" s="104"/>
      <c r="B203" s="23"/>
      <c r="C203" s="35"/>
      <c r="D203" s="35"/>
    </row>
    <row r="204" spans="1:4" ht="20.25" x14ac:dyDescent="0.25">
      <c r="A204" s="104"/>
      <c r="B204" s="23"/>
      <c r="C204" s="35"/>
      <c r="D204" s="35"/>
    </row>
    <row r="205" spans="1:4" ht="20.25" x14ac:dyDescent="0.25">
      <c r="A205" s="104"/>
      <c r="B205" s="23"/>
      <c r="C205" s="35"/>
      <c r="D205" s="35"/>
    </row>
    <row r="206" spans="1:4" ht="20.25" x14ac:dyDescent="0.25">
      <c r="A206" s="104"/>
      <c r="B206" s="23"/>
      <c r="C206" s="35"/>
      <c r="D206" s="35"/>
    </row>
    <row r="207" spans="1:4" ht="20.25" x14ac:dyDescent="0.25">
      <c r="A207" s="104"/>
      <c r="B207" s="23"/>
      <c r="C207" s="35"/>
      <c r="D207" s="35"/>
    </row>
    <row r="208" spans="1:4" x14ac:dyDescent="0.25">
      <c r="A208" s="84"/>
      <c r="B208" s="23"/>
      <c r="C208" s="23"/>
      <c r="D208" s="23"/>
    </row>
    <row r="209" spans="1:8" ht="20.25" x14ac:dyDescent="0.25">
      <c r="A209" s="84"/>
      <c r="B209" s="31" t="s">
        <v>171</v>
      </c>
      <c r="C209" s="31" t="s">
        <v>172</v>
      </c>
      <c r="D209" s="34" t="s">
        <v>171</v>
      </c>
      <c r="E209" s="34" t="s">
        <v>172</v>
      </c>
    </row>
    <row r="210" spans="1:8" ht="21" x14ac:dyDescent="0.35">
      <c r="A210" s="84"/>
      <c r="B210" s="32" t="s">
        <v>173</v>
      </c>
      <c r="C210" s="32" t="s">
        <v>174</v>
      </c>
      <c r="D210" t="s">
        <v>173</v>
      </c>
      <c r="F210" t="str">
        <f>IF(NOT(ISBLANK(D210)),D210,IF(NOT(ISBLANK(E210)),"     "&amp;E210,FALSE))</f>
        <v>Afectación Económica o presupuestal</v>
      </c>
      <c r="G210" t="s">
        <v>173</v>
      </c>
      <c r="H210" t="str">
        <f ca="1">IF(NOT(ISERROR(MATCH(G210,_xlfn.ANCHORARRAY(B221),0))),F223&amp;"Por favor no seleccionar los criterios de impacto",G210)</f>
        <v>Afectación Económica o presupuestal</v>
      </c>
    </row>
    <row r="211" spans="1:8" ht="21" x14ac:dyDescent="0.35">
      <c r="A211" s="84"/>
      <c r="B211" s="32" t="s">
        <v>173</v>
      </c>
      <c r="C211" s="32" t="s">
        <v>151</v>
      </c>
      <c r="E211" t="s">
        <v>174</v>
      </c>
      <c r="F211" t="str">
        <f t="shared" ref="F211:F221" si="0">IF(NOT(ISBLANK(D211)),D211,IF(NOT(ISBLANK(E211)),"     "&amp;E211,FALSE))</f>
        <v xml:space="preserve">     Afectación menor a 10 SMLMV .</v>
      </c>
    </row>
    <row r="212" spans="1:8" ht="21" x14ac:dyDescent="0.35">
      <c r="A212" s="84"/>
      <c r="B212" s="32" t="s">
        <v>173</v>
      </c>
      <c r="C212" s="32" t="s">
        <v>154</v>
      </c>
      <c r="E212" t="s">
        <v>151</v>
      </c>
      <c r="F212" t="str">
        <f t="shared" si="0"/>
        <v xml:space="preserve">     Entre 10 y 50 SMLMV </v>
      </c>
    </row>
    <row r="213" spans="1:8" ht="21" x14ac:dyDescent="0.35">
      <c r="A213" s="84"/>
      <c r="B213" s="32" t="s">
        <v>173</v>
      </c>
      <c r="C213" s="32" t="s">
        <v>158</v>
      </c>
      <c r="E213" t="s">
        <v>154</v>
      </c>
      <c r="F213" t="str">
        <f t="shared" si="0"/>
        <v xml:space="preserve">     Entre 50 y 100 SMLMV </v>
      </c>
    </row>
    <row r="214" spans="1:8" ht="21" x14ac:dyDescent="0.35">
      <c r="A214" s="84"/>
      <c r="B214" s="32" t="s">
        <v>173</v>
      </c>
      <c r="C214" s="32" t="s">
        <v>162</v>
      </c>
      <c r="E214" t="s">
        <v>158</v>
      </c>
      <c r="F214" t="str">
        <f t="shared" si="0"/>
        <v xml:space="preserve">     Entre 100 y 500 SMLMV </v>
      </c>
    </row>
    <row r="215" spans="1:8" ht="21" x14ac:dyDescent="0.35">
      <c r="A215" s="84"/>
      <c r="B215" s="32" t="s">
        <v>144</v>
      </c>
      <c r="C215" s="32" t="s">
        <v>148</v>
      </c>
      <c r="E215" t="s">
        <v>162</v>
      </c>
      <c r="F215" t="str">
        <f t="shared" si="0"/>
        <v xml:space="preserve">     Mayor a 500 SMLMV </v>
      </c>
    </row>
    <row r="216" spans="1:8" ht="21" x14ac:dyDescent="0.35">
      <c r="A216" s="84"/>
      <c r="B216" s="32" t="s">
        <v>144</v>
      </c>
      <c r="C216" s="32" t="s">
        <v>152</v>
      </c>
      <c r="D216" t="s">
        <v>144</v>
      </c>
      <c r="F216" t="str">
        <f t="shared" si="0"/>
        <v>Pérdida Reputacional</v>
      </c>
    </row>
    <row r="217" spans="1:8" ht="21" x14ac:dyDescent="0.35">
      <c r="A217" s="84"/>
      <c r="B217" s="32" t="s">
        <v>144</v>
      </c>
      <c r="C217" s="32" t="s">
        <v>155</v>
      </c>
      <c r="E217" t="s">
        <v>148</v>
      </c>
      <c r="F217" t="str">
        <f t="shared" si="0"/>
        <v xml:space="preserve">     El riesgo afecta la imagen de alguna área de la organización</v>
      </c>
    </row>
    <row r="218" spans="1:8" ht="21" x14ac:dyDescent="0.35">
      <c r="A218" s="84"/>
      <c r="B218" s="32" t="s">
        <v>144</v>
      </c>
      <c r="C218" s="32" t="s">
        <v>159</v>
      </c>
      <c r="E218" t="s">
        <v>152</v>
      </c>
      <c r="F218" t="str">
        <f t="shared" si="0"/>
        <v xml:space="preserve">     El riesgo afecta la imagen de la entidad internamente, de conocimiento general, nivel interno, de junta dircetiva y accionistas y/o de provedores</v>
      </c>
    </row>
    <row r="219" spans="1:8" ht="21" x14ac:dyDescent="0.35">
      <c r="A219" s="84"/>
      <c r="B219" s="32" t="s">
        <v>144</v>
      </c>
      <c r="C219" s="32" t="s">
        <v>163</v>
      </c>
      <c r="E219" t="s">
        <v>155</v>
      </c>
      <c r="F219" t="str">
        <f t="shared" si="0"/>
        <v xml:space="preserve">     El riesgo afecta la imagen de la entidad con algunos usuarios de relevancia frente al logro de los objetivos</v>
      </c>
    </row>
    <row r="220" spans="1:8" x14ac:dyDescent="0.25">
      <c r="A220" s="84"/>
      <c r="B220" s="33"/>
      <c r="C220" s="33"/>
      <c r="E220" t="s">
        <v>159</v>
      </c>
      <c r="F220" t="str">
        <f t="shared" si="0"/>
        <v xml:space="preserve">     El riesgo afecta la imagen de de la entidad con efecto publicitario sostenido a nivel de sector administrativo, nivel departamental o municipal</v>
      </c>
    </row>
    <row r="221" spans="1:8" x14ac:dyDescent="0.25">
      <c r="A221" s="84"/>
      <c r="B221" s="33" t="e">
        <f t="array" aca="1" ref="B221:B223" ca="1">_xlfn.UNIQUE(Tabla1[[#All],[Criterios]])</f>
        <v>#NAME?</v>
      </c>
      <c r="C221" s="33"/>
      <c r="E221" t="s">
        <v>163</v>
      </c>
      <c r="F221" t="str">
        <f t="shared" si="0"/>
        <v xml:space="preserve">     El riesgo afecta la imagen de la entidad a nivel nacional, con efecto publicitarios sostenible a nivel país</v>
      </c>
    </row>
    <row r="222" spans="1:8" x14ac:dyDescent="0.25">
      <c r="A222" s="84"/>
      <c r="B222" s="33" t="e">
        <f ca="1"/>
        <v>#NAME?</v>
      </c>
      <c r="C222" s="33"/>
    </row>
    <row r="223" spans="1:8" x14ac:dyDescent="0.25">
      <c r="B223" s="33" t="e">
        <f ca="1"/>
        <v>#NAME?</v>
      </c>
      <c r="C223" s="33"/>
      <c r="F223" s="36" t="s">
        <v>175</v>
      </c>
    </row>
    <row r="224" spans="1:8" x14ac:dyDescent="0.25">
      <c r="B224" s="22"/>
      <c r="C224" s="22"/>
      <c r="F224" s="36" t="s">
        <v>176</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1300-000000000000}">
      <formula1>$F$210:$F$221</formula1>
    </dataValidation>
  </dataValidations>
  <pageMargins left="0.7" right="0.7" top="0.75" bottom="0.75" header="0.3" footer="0.3"/>
  <pageSetup orientation="portrait"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theme="7" tint="-0.249977111117893"/>
  </sheetPr>
  <dimension ref="B1:F16"/>
  <sheetViews>
    <sheetView workbookViewId="0">
      <selection activeCell="B1" sqref="B1:F1"/>
    </sheetView>
  </sheetViews>
  <sheetFormatPr baseColWidth="10" defaultColWidth="14.140625" defaultRowHeight="12.75" x14ac:dyDescent="0.2"/>
  <cols>
    <col min="1" max="1" width="14.140625" style="89"/>
    <col min="2" max="2" width="13.140625" style="89" customWidth="1"/>
    <col min="3" max="3" width="15.5703125" style="89" customWidth="1"/>
    <col min="4" max="4" width="14.140625" style="89"/>
    <col min="5" max="5" width="39.140625" style="89" customWidth="1"/>
    <col min="6" max="6" width="12.140625" style="89" customWidth="1"/>
    <col min="7" max="16384" width="14.140625" style="89"/>
  </cols>
  <sheetData>
    <row r="1" spans="2:6" ht="24" customHeight="1" thickBot="1" x14ac:dyDescent="0.25">
      <c r="B1" s="450" t="s">
        <v>177</v>
      </c>
      <c r="C1" s="451"/>
      <c r="D1" s="451"/>
      <c r="E1" s="451"/>
      <c r="F1" s="452"/>
    </row>
    <row r="2" spans="2:6" ht="16.5" thickBot="1" x14ac:dyDescent="0.3">
      <c r="B2" s="90"/>
      <c r="C2" s="90"/>
      <c r="D2" s="90"/>
      <c r="E2" s="90"/>
      <c r="F2" s="90"/>
    </row>
    <row r="3" spans="2:6" ht="16.5" thickBot="1" x14ac:dyDescent="0.25">
      <c r="B3" s="454" t="s">
        <v>178</v>
      </c>
      <c r="C3" s="455"/>
      <c r="D3" s="455"/>
      <c r="E3" s="102" t="s">
        <v>179</v>
      </c>
      <c r="F3" s="103" t="s">
        <v>180</v>
      </c>
    </row>
    <row r="4" spans="2:6" ht="31.5" x14ac:dyDescent="0.2">
      <c r="B4" s="456" t="s">
        <v>181</v>
      </c>
      <c r="C4" s="458" t="s">
        <v>83</v>
      </c>
      <c r="D4" s="91" t="s">
        <v>92</v>
      </c>
      <c r="E4" s="92" t="s">
        <v>182</v>
      </c>
      <c r="F4" s="93">
        <v>0.25</v>
      </c>
    </row>
    <row r="5" spans="2:6" ht="47.25" x14ac:dyDescent="0.2">
      <c r="B5" s="457"/>
      <c r="C5" s="459"/>
      <c r="D5" s="94" t="s">
        <v>98</v>
      </c>
      <c r="E5" s="95" t="s">
        <v>183</v>
      </c>
      <c r="F5" s="96">
        <v>0.15</v>
      </c>
    </row>
    <row r="6" spans="2:6" ht="47.25" x14ac:dyDescent="0.2">
      <c r="B6" s="457"/>
      <c r="C6" s="459"/>
      <c r="D6" s="94" t="s">
        <v>99</v>
      </c>
      <c r="E6" s="95" t="s">
        <v>184</v>
      </c>
      <c r="F6" s="96">
        <v>0.1</v>
      </c>
    </row>
    <row r="7" spans="2:6" ht="78.75" x14ac:dyDescent="0.2">
      <c r="B7" s="457"/>
      <c r="C7" s="459" t="s">
        <v>84</v>
      </c>
      <c r="D7" s="94" t="s">
        <v>106</v>
      </c>
      <c r="E7" s="95" t="s">
        <v>185</v>
      </c>
      <c r="F7" s="96">
        <v>0.25</v>
      </c>
    </row>
    <row r="8" spans="2:6" ht="31.5" x14ac:dyDescent="0.2">
      <c r="B8" s="457"/>
      <c r="C8" s="459"/>
      <c r="D8" s="94" t="s">
        <v>93</v>
      </c>
      <c r="E8" s="95" t="s">
        <v>186</v>
      </c>
      <c r="F8" s="96">
        <v>0.15</v>
      </c>
    </row>
    <row r="9" spans="2:6" ht="63" x14ac:dyDescent="0.2">
      <c r="B9" s="457" t="s">
        <v>187</v>
      </c>
      <c r="C9" s="459" t="s">
        <v>86</v>
      </c>
      <c r="D9" s="94" t="s">
        <v>94</v>
      </c>
      <c r="E9" s="95" t="s">
        <v>188</v>
      </c>
      <c r="F9" s="97" t="s">
        <v>189</v>
      </c>
    </row>
    <row r="10" spans="2:6" ht="63" x14ac:dyDescent="0.2">
      <c r="B10" s="457"/>
      <c r="C10" s="459"/>
      <c r="D10" s="94" t="s">
        <v>108</v>
      </c>
      <c r="E10" s="95" t="s">
        <v>190</v>
      </c>
      <c r="F10" s="97" t="s">
        <v>189</v>
      </c>
    </row>
    <row r="11" spans="2:6" ht="47.25" x14ac:dyDescent="0.2">
      <c r="B11" s="457"/>
      <c r="C11" s="459" t="s">
        <v>87</v>
      </c>
      <c r="D11" s="94" t="s">
        <v>95</v>
      </c>
      <c r="E11" s="95" t="s">
        <v>191</v>
      </c>
      <c r="F11" s="97" t="s">
        <v>189</v>
      </c>
    </row>
    <row r="12" spans="2:6" ht="47.25" x14ac:dyDescent="0.2">
      <c r="B12" s="457"/>
      <c r="C12" s="459"/>
      <c r="D12" s="94" t="s">
        <v>100</v>
      </c>
      <c r="E12" s="95" t="s">
        <v>192</v>
      </c>
      <c r="F12" s="97" t="s">
        <v>189</v>
      </c>
    </row>
    <row r="13" spans="2:6" ht="31.5" x14ac:dyDescent="0.2">
      <c r="B13" s="457"/>
      <c r="C13" s="459" t="s">
        <v>88</v>
      </c>
      <c r="D13" s="94" t="s">
        <v>96</v>
      </c>
      <c r="E13" s="95" t="s">
        <v>193</v>
      </c>
      <c r="F13" s="97" t="s">
        <v>189</v>
      </c>
    </row>
    <row r="14" spans="2:6" ht="33.6" customHeight="1" thickBot="1" x14ac:dyDescent="0.25">
      <c r="B14" s="460"/>
      <c r="C14" s="461"/>
      <c r="D14" s="98" t="s">
        <v>194</v>
      </c>
      <c r="E14" s="99" t="s">
        <v>195</v>
      </c>
      <c r="F14" s="100" t="s">
        <v>189</v>
      </c>
    </row>
    <row r="15" spans="2:6" ht="49.5" customHeight="1" x14ac:dyDescent="0.2">
      <c r="B15" s="453" t="s">
        <v>196</v>
      </c>
      <c r="C15" s="453"/>
      <c r="D15" s="453"/>
      <c r="E15" s="453"/>
      <c r="F15" s="453"/>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B2:E19"/>
  <sheetViews>
    <sheetView topLeftCell="A4" workbookViewId="0">
      <selection activeCell="B13" sqref="B13:B19"/>
    </sheetView>
  </sheetViews>
  <sheetFormatPr baseColWidth="10" defaultColWidth="11.42578125" defaultRowHeight="15" x14ac:dyDescent="0.25"/>
  <sheetData>
    <row r="2" spans="2:5" x14ac:dyDescent="0.25">
      <c r="B2" t="s">
        <v>197</v>
      </c>
      <c r="E2" t="s">
        <v>198</v>
      </c>
    </row>
    <row r="3" spans="2:5" x14ac:dyDescent="0.25">
      <c r="B3" t="s">
        <v>105</v>
      </c>
      <c r="E3" t="s">
        <v>89</v>
      </c>
    </row>
    <row r="4" spans="2:5" x14ac:dyDescent="0.25">
      <c r="B4" t="s">
        <v>199</v>
      </c>
      <c r="E4" t="s">
        <v>102</v>
      </c>
    </row>
    <row r="5" spans="2:5" x14ac:dyDescent="0.25">
      <c r="B5" t="s">
        <v>97</v>
      </c>
    </row>
    <row r="8" spans="2:5" x14ac:dyDescent="0.25">
      <c r="B8" t="s">
        <v>200</v>
      </c>
    </row>
    <row r="9" spans="2:5" x14ac:dyDescent="0.25">
      <c r="B9" t="s">
        <v>201</v>
      </c>
    </row>
    <row r="10" spans="2:5" x14ac:dyDescent="0.25">
      <c r="B10" t="s">
        <v>202</v>
      </c>
    </row>
    <row r="13" spans="2:5" x14ac:dyDescent="0.25">
      <c r="B13" t="s">
        <v>203</v>
      </c>
    </row>
    <row r="14" spans="2:5" x14ac:dyDescent="0.25">
      <c r="B14" t="s">
        <v>90</v>
      </c>
    </row>
    <row r="15" spans="2:5" x14ac:dyDescent="0.25">
      <c r="B15" t="s">
        <v>204</v>
      </c>
    </row>
    <row r="16" spans="2:5" x14ac:dyDescent="0.25">
      <c r="B16" t="s">
        <v>205</v>
      </c>
    </row>
    <row r="17" spans="2:2" x14ac:dyDescent="0.25">
      <c r="B17" t="s">
        <v>206</v>
      </c>
    </row>
    <row r="18" spans="2:2" x14ac:dyDescent="0.25">
      <c r="B18" t="s">
        <v>207</v>
      </c>
    </row>
    <row r="19" spans="2:2" x14ac:dyDescent="0.25">
      <c r="B19" t="s">
        <v>103</v>
      </c>
    </row>
  </sheetData>
  <sortState ref="B2:B5">
    <sortCondition ref="B2:B5"/>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92</v>
      </c>
    </row>
    <row r="4" spans="1:1" x14ac:dyDescent="0.2">
      <c r="A4" s="10" t="s">
        <v>98</v>
      </c>
    </row>
    <row r="5" spans="1:1" x14ac:dyDescent="0.2">
      <c r="A5" s="10" t="s">
        <v>99</v>
      </c>
    </row>
    <row r="6" spans="1:1" x14ac:dyDescent="0.2">
      <c r="A6" s="10" t="s">
        <v>106</v>
      </c>
    </row>
    <row r="7" spans="1:1" x14ac:dyDescent="0.2">
      <c r="A7" s="10" t="s">
        <v>93</v>
      </c>
    </row>
    <row r="8" spans="1:1" x14ac:dyDescent="0.2">
      <c r="A8" s="10" t="s">
        <v>94</v>
      </c>
    </row>
    <row r="9" spans="1:1" x14ac:dyDescent="0.2">
      <c r="A9" s="10" t="s">
        <v>108</v>
      </c>
    </row>
    <row r="10" spans="1:1" x14ac:dyDescent="0.2">
      <c r="A10" s="10" t="s">
        <v>95</v>
      </c>
    </row>
    <row r="11" spans="1:1" x14ac:dyDescent="0.2">
      <c r="A11" s="10" t="s">
        <v>100</v>
      </c>
    </row>
    <row r="12" spans="1:1" x14ac:dyDescent="0.2">
      <c r="A12" s="10" t="s">
        <v>208</v>
      </c>
    </row>
    <row r="13" spans="1:1" x14ac:dyDescent="0.2">
      <c r="A13" s="10" t="s">
        <v>209</v>
      </c>
    </row>
    <row r="14" spans="1:1" x14ac:dyDescent="0.2">
      <c r="A14" s="10" t="s">
        <v>210</v>
      </c>
    </row>
    <row r="16" spans="1:1" x14ac:dyDescent="0.2">
      <c r="A16" s="10" t="s">
        <v>211</v>
      </c>
    </row>
    <row r="17" spans="1:1" x14ac:dyDescent="0.2">
      <c r="A17" s="10" t="s">
        <v>197</v>
      </c>
    </row>
    <row r="18" spans="1:1" x14ac:dyDescent="0.2">
      <c r="A18" s="10" t="s">
        <v>105</v>
      </c>
    </row>
    <row r="20" spans="1:1" x14ac:dyDescent="0.2">
      <c r="A20" s="10" t="s">
        <v>201</v>
      </c>
    </row>
    <row r="21" spans="1:1" x14ac:dyDescent="0.2">
      <c r="A21" s="10"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2060"/>
  </sheetPr>
  <dimension ref="A1:BP14"/>
  <sheetViews>
    <sheetView zoomScale="70" zoomScaleNormal="70" workbookViewId="0">
      <pane xSplit="16" ySplit="2" topLeftCell="Q3" activePane="bottomRight" state="frozen"/>
      <selection pane="topRight" activeCell="Q1" sqref="Q1"/>
      <selection pane="bottomLeft" activeCell="A3" sqref="A3"/>
      <selection pane="bottomRight" activeCell="A4" sqref="A4:B4"/>
    </sheetView>
  </sheetViews>
  <sheetFormatPr baseColWidth="10" defaultColWidth="11.42578125" defaultRowHeight="16.5" x14ac:dyDescent="0.3"/>
  <cols>
    <col min="1" max="1" width="4.140625" style="2"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customWidth="1"/>
    <col min="10" max="10" width="27.140625" style="1" customWidth="1"/>
    <col min="11" max="11" width="30.5703125" style="1" customWidth="1"/>
    <col min="12" max="12" width="17.5703125" style="1" customWidth="1"/>
    <col min="13" max="13" width="3" style="1" customWidth="1"/>
    <col min="14" max="14" width="6.5703125"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34.140625" style="1" customWidth="1"/>
    <col min="32" max="32" width="18.85546875" style="1" customWidth="1"/>
    <col min="33" max="33" width="16.85546875" style="1" customWidth="1"/>
    <col min="34" max="34" width="14.85546875" style="1" customWidth="1"/>
    <col min="35" max="35" width="26.1406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222</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221</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220</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13"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13"/>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102</v>
      </c>
      <c r="C10" s="237" t="s">
        <v>219</v>
      </c>
      <c r="D10" s="237" t="s">
        <v>218</v>
      </c>
      <c r="E10" s="239" t="s">
        <v>217</v>
      </c>
      <c r="F10" s="237" t="s">
        <v>103</v>
      </c>
      <c r="G10" s="231">
        <f>(96+50+5+10+600+1)</f>
        <v>762</v>
      </c>
      <c r="H10" s="233" t="str">
        <f>IF(G10&lt;=0,"",IF(G10&lt;=2,"Muy Baja",IF(G10&lt;=24,"Baja",IF(G10&lt;=500,"Media",IF(G10&lt;=5000,"Alta","Muy Alta")))))</f>
        <v>Alta</v>
      </c>
      <c r="I10" s="217">
        <f>IF(H10="","",IF(H10="Muy Baja",0.2,IF(H10="Baja",0.4,IF(H10="Media",0.6,IF(H10="Alta",0.8,IF(H10="Muy Alta",1,))))))</f>
        <v>0.8</v>
      </c>
      <c r="J10" s="235" t="s">
        <v>101</v>
      </c>
      <c r="K10" s="217" t="str">
        <f>IF(NOT(ISERROR(MATCH(J10,'[3]Tabla Impacto'!$B$221:$B$223,0))),'[3]Tabla Impacto'!$F$223&amp;"Por favor no seleccionar los criterios de impacto(Afectación Económica o presupuestal y Pérdida Reputacional)",J10)</f>
        <v xml:space="preserve">     El riesgo afecta la imagen de la entidad a nivel nacional, con efecto publicitarios sostenible a nivel país</v>
      </c>
      <c r="L10" s="233" t="str">
        <f>IF(OR(K10='[3]Tabla Impacto'!$C$11,K10='[3]Tabla Impacto'!$D$11),"Leve",IF(OR(K10='[3]Tabla Impacto'!$C$12,K10='[3]Tabla Impacto'!$D$12),"Menor",IF(OR(K10='[3]Tabla Impacto'!$C$13,K10='[3]Tabla Impacto'!$D$13),"Moderado",IF(OR(K10='[3]Tabla Impacto'!$C$14,K10='[3]Tabla Impacto'!$D$14),"Mayor",IF(OR(K10='[3]Tabla Impacto'!$C$15,K10='[3]Tabla Impacto'!$D$15),"Catastrófico","")))))</f>
        <v>Catastrófico</v>
      </c>
      <c r="M10" s="217">
        <f>IF(L10="","",IF(L10="Leve",0.2,IF(L10="Menor",0.4,IF(L10="Moderado",0.6,IF(L10="Mayor",0.8,IF(L10="Catastrófico",1,))))))</f>
        <v>1</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Extremo</v>
      </c>
      <c r="O10" s="153">
        <v>1</v>
      </c>
      <c r="P10" s="157" t="s">
        <v>448</v>
      </c>
      <c r="Q10" s="141" t="str">
        <f t="shared" ref="Q10:Q11" si="0">IF(OR(R10="Preventivo",R10="Detectivo"),"Probabilidad",IF(R10="Correctivo","Impacto",""))</f>
        <v>Probabilidad</v>
      </c>
      <c r="R10" s="142" t="s">
        <v>92</v>
      </c>
      <c r="S10" s="142" t="s">
        <v>93</v>
      </c>
      <c r="T10" s="143" t="str">
        <f t="shared" ref="T10:T11"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0.48</v>
      </c>
      <c r="Y10" s="145" t="str">
        <f t="shared" ref="Y10:Y11" si="2">IFERROR(IF(X10="","",IF(X10&lt;=0.2,"Muy Baja",IF(X10&lt;=0.4,"Baja",IF(X10&lt;=0.6,"Media",IF(X10&lt;=0.8,"Alta","Muy Alta"))))),"")</f>
        <v>Media</v>
      </c>
      <c r="Z10" s="146">
        <f t="shared" ref="Z10:Z11" si="3">+X10</f>
        <v>0.48</v>
      </c>
      <c r="AA10" s="145" t="str">
        <f t="shared" ref="AA10:AA11" si="4">IFERROR(IF(AB10="","",IF(AB10&lt;=0.2,"Leve",IF(AB10&lt;=0.4,"Menor",IF(AB10&lt;=0.6,"Moderado",IF(AB10&lt;=0.8,"Mayor","Catastrófico"))))),"")</f>
        <v>Catastrófico</v>
      </c>
      <c r="AB10" s="146">
        <f>IFERROR(IF(Q10="Impacto",(M10-(+M10*T10)),IF(Q10="Probabilidad",M10,"")),"")</f>
        <v>1</v>
      </c>
      <c r="AC10" s="147" t="str">
        <f t="shared" ref="AC10:AC1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Extremo</v>
      </c>
      <c r="AD10" s="148" t="s">
        <v>97</v>
      </c>
      <c r="AE10" s="140" t="s">
        <v>216</v>
      </c>
      <c r="AF10" s="149" t="s">
        <v>326</v>
      </c>
      <c r="AG10" s="149" t="s">
        <v>458</v>
      </c>
      <c r="AH10" s="150" t="s">
        <v>459</v>
      </c>
      <c r="AI10" s="150" t="s">
        <v>449</v>
      </c>
      <c r="AJ10" s="154" t="s">
        <v>332</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49" t="s">
        <v>453</v>
      </c>
      <c r="Q11" s="141" t="str">
        <f t="shared" si="0"/>
        <v>Probabilidad</v>
      </c>
      <c r="R11" s="142" t="s">
        <v>92</v>
      </c>
      <c r="S11" s="142" t="s">
        <v>93</v>
      </c>
      <c r="T11" s="143" t="str">
        <f t="shared" si="1"/>
        <v>40%</v>
      </c>
      <c r="U11" s="142" t="s">
        <v>94</v>
      </c>
      <c r="V11" s="142" t="s">
        <v>95</v>
      </c>
      <c r="W11" s="142" t="s">
        <v>96</v>
      </c>
      <c r="X11" s="144">
        <f>IFERROR(IF(AND(Q10="Probabilidad",Q11="Probabilidad"),(Z10-(+Z10*T11)),IF(Q11="Probabilidad",(I10-(+I10*T11)),IF(Q11="Impacto",Z10,""))),"")</f>
        <v>0.28799999999999998</v>
      </c>
      <c r="Y11" s="145" t="str">
        <f t="shared" si="2"/>
        <v>Baja</v>
      </c>
      <c r="Z11" s="146">
        <f t="shared" si="3"/>
        <v>0.28799999999999998</v>
      </c>
      <c r="AA11" s="145" t="str">
        <f t="shared" si="4"/>
        <v>Catastrófico</v>
      </c>
      <c r="AB11" s="146">
        <f>IFERROR(IF(AND(Q10="Impacto",Q11="Impacto"),(AB10-(+AB10*T11)),IF(Q11="Impacto",($M$10-(+$M$10*T11)),IF(Q11="Probabilidad",AB10,""))),"")</f>
        <v>1</v>
      </c>
      <c r="AC11" s="147" t="str">
        <f t="shared" si="5"/>
        <v>Extremo</v>
      </c>
      <c r="AD11" s="148" t="s">
        <v>97</v>
      </c>
      <c r="AE11" s="149" t="s">
        <v>450</v>
      </c>
      <c r="AF11" s="149" t="s">
        <v>404</v>
      </c>
      <c r="AG11" s="149" t="s">
        <v>460</v>
      </c>
      <c r="AH11" s="150" t="s">
        <v>461</v>
      </c>
      <c r="AI11" s="149" t="s">
        <v>368</v>
      </c>
      <c r="AJ11" s="149" t="s">
        <v>416</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mergeCells count="59">
    <mergeCell ref="L10:L11"/>
    <mergeCell ref="M10:M11"/>
    <mergeCell ref="F10:F11"/>
    <mergeCell ref="G10:G11"/>
    <mergeCell ref="H10:H11"/>
    <mergeCell ref="A10:A11"/>
    <mergeCell ref="B10:B11"/>
    <mergeCell ref="C10:C11"/>
    <mergeCell ref="D10:D11"/>
    <mergeCell ref="E10:E11"/>
    <mergeCell ref="AE8:AE9"/>
    <mergeCell ref="AJ8:AJ9"/>
    <mergeCell ref="AI8:AI9"/>
    <mergeCell ref="AH8:AH9"/>
    <mergeCell ref="AG8:AG9"/>
    <mergeCell ref="AF8:AF9"/>
    <mergeCell ref="AD8:AD9"/>
    <mergeCell ref="O8:O9"/>
    <mergeCell ref="B8:B9"/>
    <mergeCell ref="N8:N9"/>
    <mergeCell ref="J8:J9"/>
    <mergeCell ref="K8:K9"/>
    <mergeCell ref="Q8:Q9"/>
    <mergeCell ref="R8:W8"/>
    <mergeCell ref="AA8:AA9"/>
    <mergeCell ref="Y8:Y9"/>
    <mergeCell ref="Z8:Z9"/>
    <mergeCell ref="G8:G9"/>
    <mergeCell ref="H8:H9"/>
    <mergeCell ref="I8:I9"/>
    <mergeCell ref="L8:L9"/>
    <mergeCell ref="M8:M9"/>
    <mergeCell ref="AC8:AC9"/>
    <mergeCell ref="AB8:AB9"/>
    <mergeCell ref="X8:X9"/>
    <mergeCell ref="P8:P9"/>
    <mergeCell ref="A4:B4"/>
    <mergeCell ref="A5:B5"/>
    <mergeCell ref="A6:B6"/>
    <mergeCell ref="A8:A9"/>
    <mergeCell ref="F8:F9"/>
    <mergeCell ref="E8:E9"/>
    <mergeCell ref="D8:D9"/>
    <mergeCell ref="C8:C9"/>
    <mergeCell ref="C5:N5"/>
    <mergeCell ref="C6:N6"/>
    <mergeCell ref="N10:N11"/>
    <mergeCell ref="I10:I11"/>
    <mergeCell ref="J10:J11"/>
    <mergeCell ref="K10:K11"/>
    <mergeCell ref="C4:N4"/>
    <mergeCell ref="O4:Q4"/>
    <mergeCell ref="A1:AJ2"/>
    <mergeCell ref="A7:G7"/>
    <mergeCell ref="H7:N7"/>
    <mergeCell ref="O7:W7"/>
    <mergeCell ref="X7:AD7"/>
    <mergeCell ref="AE7:AJ7"/>
    <mergeCell ref="B12:AJ12"/>
  </mergeCells>
  <conditionalFormatting sqref="H10">
    <cfRule type="cellIs" dxfId="387" priority="227" operator="equal">
      <formula>"Muy Alta"</formula>
    </cfRule>
    <cfRule type="cellIs" dxfId="386" priority="228" operator="equal">
      <formula>"Alta"</formula>
    </cfRule>
    <cfRule type="cellIs" dxfId="385" priority="229" operator="equal">
      <formula>"Media"</formula>
    </cfRule>
    <cfRule type="cellIs" dxfId="384" priority="230" operator="equal">
      <formula>"Baja"</formula>
    </cfRule>
    <cfRule type="cellIs" dxfId="383" priority="231" operator="equal">
      <formula>"Muy Baja"</formula>
    </cfRule>
  </conditionalFormatting>
  <conditionalFormatting sqref="K10:K11">
    <cfRule type="containsText" dxfId="382" priority="1" operator="containsText" text="❌">
      <formula>NOT(ISERROR(SEARCH("❌",K10)))</formula>
    </cfRule>
  </conditionalFormatting>
  <conditionalFormatting sqref="L10">
    <cfRule type="cellIs" dxfId="381" priority="222" operator="equal">
      <formula>"Catastrófico"</formula>
    </cfRule>
    <cfRule type="cellIs" dxfId="380" priority="223" operator="equal">
      <formula>"Mayor"</formula>
    </cfRule>
    <cfRule type="cellIs" dxfId="379" priority="224" operator="equal">
      <formula>"Moderado"</formula>
    </cfRule>
    <cfRule type="cellIs" dxfId="378" priority="225" operator="equal">
      <formula>"Menor"</formula>
    </cfRule>
    <cfRule type="cellIs" dxfId="377" priority="226" operator="equal">
      <formula>"Leve"</formula>
    </cfRule>
  </conditionalFormatting>
  <conditionalFormatting sqref="N10">
    <cfRule type="cellIs" dxfId="376" priority="218" operator="equal">
      <formula>"Extremo"</formula>
    </cfRule>
    <cfRule type="cellIs" dxfId="375" priority="219" operator="equal">
      <formula>"Alto"</formula>
    </cfRule>
    <cfRule type="cellIs" dxfId="374" priority="220" operator="equal">
      <formula>"Moderado"</formula>
    </cfRule>
    <cfRule type="cellIs" dxfId="373" priority="221" operator="equal">
      <formula>"Bajo"</formula>
    </cfRule>
  </conditionalFormatting>
  <conditionalFormatting sqref="Y10:Y11">
    <cfRule type="cellIs" dxfId="372" priority="11" operator="equal">
      <formula>"Muy Alta"</formula>
    </cfRule>
    <cfRule type="cellIs" dxfId="371" priority="12" operator="equal">
      <formula>"Alta"</formula>
    </cfRule>
    <cfRule type="cellIs" dxfId="370" priority="13" operator="equal">
      <formula>"Media"</formula>
    </cfRule>
    <cfRule type="cellIs" dxfId="369" priority="14" operator="equal">
      <formula>"Baja"</formula>
    </cfRule>
    <cfRule type="cellIs" dxfId="368" priority="15" operator="equal">
      <formula>"Muy Baja"</formula>
    </cfRule>
  </conditionalFormatting>
  <conditionalFormatting sqref="AA10:AA11">
    <cfRule type="cellIs" dxfId="367" priority="6" operator="equal">
      <formula>"Catastrófico"</formula>
    </cfRule>
    <cfRule type="cellIs" dxfId="366" priority="7" operator="equal">
      <formula>"Mayor"</formula>
    </cfRule>
    <cfRule type="cellIs" dxfId="365" priority="8" operator="equal">
      <formula>"Moderado"</formula>
    </cfRule>
    <cfRule type="cellIs" dxfId="364" priority="9" operator="equal">
      <formula>"Menor"</formula>
    </cfRule>
    <cfRule type="cellIs" dxfId="363" priority="10" operator="equal">
      <formula>"Leve"</formula>
    </cfRule>
  </conditionalFormatting>
  <conditionalFormatting sqref="AC10:AC11">
    <cfRule type="cellIs" dxfId="362" priority="2" operator="equal">
      <formula>"Extremo"</formula>
    </cfRule>
    <cfRule type="cellIs" dxfId="361" priority="3" operator="equal">
      <formula>"Alto"</formula>
    </cfRule>
    <cfRule type="cellIs" dxfId="360" priority="4" operator="equal">
      <formula>"Moderado"</formula>
    </cfRule>
    <cfRule type="cellIs" dxfId="359" priority="5" operator="equal">
      <formula>"Bajo"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2060"/>
  </sheetPr>
  <dimension ref="A1:BP15"/>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7109375" style="2" customWidth="1"/>
    <col min="2" max="2" width="14.140625" style="2" customWidth="1"/>
    <col min="3" max="3" width="13.140625" style="2" customWidth="1"/>
    <col min="4" max="4" width="18.42578125" style="2" customWidth="1"/>
    <col min="5" max="5" width="23.28515625" style="1" customWidth="1"/>
    <col min="6" max="6" width="30.42578125" style="5" customWidth="1"/>
    <col min="7" max="7" width="19.85546875" style="1" customWidth="1"/>
    <col min="8" max="8" width="20.5703125" style="1" customWidth="1"/>
    <col min="9" max="9" width="15.28515625" style="1" customWidth="1"/>
    <col min="10" max="10" width="31.5703125" style="1" customWidth="1"/>
    <col min="11" max="11" width="26" style="1" customWidth="1"/>
    <col min="12" max="12" width="17.5703125" style="1" customWidth="1"/>
    <col min="13" max="13" width="6.140625" style="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7" style="1" customWidth="1"/>
    <col min="32" max="32" width="22" style="1" customWidth="1"/>
    <col min="33" max="33" width="19.7109375" style="1" customWidth="1"/>
    <col min="34" max="34" width="21.7109375" style="1" customWidth="1"/>
    <col min="35" max="35" width="18.5703125" style="1" customWidth="1"/>
    <col min="36" max="36" width="25.7109375" style="1" customWidth="1"/>
    <col min="37" max="37" width="30.42578125" style="1" customWidth="1"/>
    <col min="38"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223</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224</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225</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13"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13"/>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89</v>
      </c>
      <c r="C10" s="237" t="s">
        <v>226</v>
      </c>
      <c r="D10" s="237" t="s">
        <v>227</v>
      </c>
      <c r="E10" s="239" t="s">
        <v>333</v>
      </c>
      <c r="F10" s="237" t="s">
        <v>204</v>
      </c>
      <c r="G10" s="231">
        <f>400+3+50</f>
        <v>453</v>
      </c>
      <c r="H10" s="233" t="str">
        <f>IF(G10&lt;=0,"",IF(G10&lt;=2,"Muy Baja",IF(G10&lt;=24,"Baja",IF(G10&lt;=500,"Media",IF(G10&lt;=5000,"Alta","Muy Alta")))))</f>
        <v>Media</v>
      </c>
      <c r="I10" s="217">
        <f>IF(H10="","",IF(H10="Muy Baja",0.2,IF(H10="Baja",0.4,IF(H10="Media",0.6,IF(H10="Alta",0.8,IF(H10="Muy Alta",1,))))))</f>
        <v>0.6</v>
      </c>
      <c r="J10" s="235" t="s">
        <v>104</v>
      </c>
      <c r="K10" s="217" t="str">
        <f>IF(NOT(ISERROR(MATCH(J10,'[4]Tabla Impacto'!$B$221:$B$223,0))),'[4]Tabla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33" t="str">
        <f>IF(OR(K10='[4]Tabla Impacto'!$C$11,K10='[4]Tabla Impacto'!$D$11),"Leve",IF(OR(K10='[4]Tabla Impacto'!$C$12,K10='[4]Tabla Impacto'!$D$12),"Menor",IF(OR(K10='[4]Tabla Impacto'!$C$13,K10='[4]Tabla Impacto'!$D$13),"Moderado",IF(OR(K10='[4]Tabla Impacto'!$C$14,K10='[4]Tabla Impacto'!$D$14),"Mayor",IF(OR(K10='[4]Tabla Impacto'!$C$15,K10='[4]Tabla Impacto'!$D$15),"Catastrófico","")))))</f>
        <v>Mayor</v>
      </c>
      <c r="M10" s="217">
        <f>IF(L10="","",IF(L10="Leve",0.2,IF(L10="Menor",0.4,IF(L10="Moderado",0.6,IF(L10="Mayor",0.8,IF(L10="Catastrófico",1,))))))</f>
        <v>0.8</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53">
        <v>1</v>
      </c>
      <c r="P10" s="158" t="s">
        <v>434</v>
      </c>
      <c r="Q10" s="141" t="str">
        <f t="shared" ref="Q10:Q11" si="0">IF(OR(R10="Preventivo",R10="Detectivo"),"Probabilidad",IF(R10="Correctivo","Impacto",""))</f>
        <v>Impacto</v>
      </c>
      <c r="R10" s="142" t="s">
        <v>99</v>
      </c>
      <c r="S10" s="142" t="s">
        <v>93</v>
      </c>
      <c r="T10" s="143" t="str">
        <f t="shared" ref="T10:T11" si="1">IF(AND(R10="Preventivo",S10="Automático"),"50%",IF(AND(R10="Preventivo",S10="Manual"),"40%",IF(AND(R10="Detectivo",S10="Automático"),"40%",IF(AND(R10="Detectivo",S10="Manual"),"30%",IF(AND(R10="Correctivo",S10="Automático"),"35%",IF(AND(R10="Correctivo",S10="Manual"),"25%",""))))))</f>
        <v>25%</v>
      </c>
      <c r="U10" s="142" t="s">
        <v>108</v>
      </c>
      <c r="V10" s="142" t="s">
        <v>95</v>
      </c>
      <c r="W10" s="142" t="s">
        <v>96</v>
      </c>
      <c r="X10" s="144">
        <f>IFERROR(IF(Q10="Probabilidad",(I10-(+I10*T10)),IF(Q10="Impacto",I10,"")),"")</f>
        <v>0.6</v>
      </c>
      <c r="Y10" s="145" t="str">
        <f>IFERROR(IF(X10="","",IF(X10&lt;=0.2,"Muy Baja",IF(X10&lt;=0.4,"Baja",IF(X10&lt;=0.6,"Media",IF(X10&lt;=0.8,"Alta","Muy Alta"))))),"")</f>
        <v>Media</v>
      </c>
      <c r="Z10" s="146">
        <f t="shared" ref="Z10:Z12" si="2">+X10</f>
        <v>0.6</v>
      </c>
      <c r="AA10" s="145" t="str">
        <f>IFERROR(IF(AB10="","",IF(AB10&lt;=0.2,"Leve",IF(AB10&lt;=0.4,"Menor",IF(AB10&lt;=0.6,"Moderado",IF(AB10&lt;=0.8,"Mayor","Catastrófico"))))),"")</f>
        <v>Moderado</v>
      </c>
      <c r="AB10" s="146">
        <f>IFERROR(IF(Q10="Impacto",(M10-(+M10*T10)),IF(Q10="Probabilidad",M10,"")),"")</f>
        <v>0.60000000000000009</v>
      </c>
      <c r="AC10" s="147" t="str">
        <f t="shared" ref="AC10:AC12"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97</v>
      </c>
      <c r="AE10" s="140" t="s">
        <v>431</v>
      </c>
      <c r="AF10" s="149" t="s">
        <v>405</v>
      </c>
      <c r="AG10" s="150" t="s">
        <v>462</v>
      </c>
      <c r="AH10" s="150" t="s">
        <v>463</v>
      </c>
      <c r="AI10" s="150" t="s">
        <v>433</v>
      </c>
      <c r="AJ10" s="149" t="s">
        <v>432</v>
      </c>
      <c r="AK10" s="162"/>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58" t="s">
        <v>427</v>
      </c>
      <c r="Q11" s="141" t="str">
        <f t="shared" si="0"/>
        <v>Probabilidad</v>
      </c>
      <c r="R11" s="142" t="s">
        <v>92</v>
      </c>
      <c r="S11" s="142" t="s">
        <v>106</v>
      </c>
      <c r="T11" s="143" t="str">
        <f t="shared" si="1"/>
        <v>50%</v>
      </c>
      <c r="U11" s="142" t="s">
        <v>94</v>
      </c>
      <c r="V11" s="142" t="s">
        <v>95</v>
      </c>
      <c r="W11" s="142" t="s">
        <v>96</v>
      </c>
      <c r="X11" s="144">
        <f>IFERROR(IF(AND(Q10="Probabilidad",Q11="Probabilidad"),(Z10-(+Z10*T11)),IF(Q11="Probabilidad",(I10-(+I10*T11)),IF(Q11="Impacto",Z10,""))),"")</f>
        <v>0.3</v>
      </c>
      <c r="Y11" s="145" t="str">
        <f t="shared" ref="Y11:Y12" si="4">IFERROR(IF(X11="","",IF(X11&lt;=0.2,"Muy Baja",IF(X11&lt;=0.4,"Baja",IF(X11&lt;=0.6,"Media",IF(X11&lt;=0.8,"Alta","Muy Alta"))))),"")</f>
        <v>Baja</v>
      </c>
      <c r="Z11" s="146">
        <f t="shared" si="2"/>
        <v>0.3</v>
      </c>
      <c r="AA11" s="145" t="str">
        <f t="shared" ref="AA11:AA12" si="5">IFERROR(IF(AB11="","",IF(AB11&lt;=0.2,"Leve",IF(AB11&lt;=0.4,"Menor",IF(AB11&lt;=0.6,"Moderado",IF(AB11&lt;=0.8,"Mayor","Catastrófico"))))),"")</f>
        <v>Moderado</v>
      </c>
      <c r="AB11" s="146">
        <f>IFERROR(IF(AND(Q10="Impacto",Q11="Impacto"),(AB10-(+AB10*T11)),IF(Q11="Impacto",($M$10-(+$M$10*T11)),IF(Q11="Probabilidad",AB10,""))),"")</f>
        <v>0.60000000000000009</v>
      </c>
      <c r="AC11" s="147" t="str">
        <f t="shared" si="3"/>
        <v>Moderado</v>
      </c>
      <c r="AD11" s="148" t="s">
        <v>97</v>
      </c>
      <c r="AE11" s="154" t="s">
        <v>328</v>
      </c>
      <c r="AF11" s="149" t="s">
        <v>405</v>
      </c>
      <c r="AG11" s="149" t="s">
        <v>464</v>
      </c>
      <c r="AH11" s="150" t="s">
        <v>328</v>
      </c>
      <c r="AI11" s="149" t="s">
        <v>406</v>
      </c>
      <c r="AJ11" s="154"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49"/>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3</v>
      </c>
      <c r="P12" s="158" t="s">
        <v>428</v>
      </c>
      <c r="Q12" s="141" t="str">
        <f t="shared" ref="Q12" si="6">IF(OR(R12="Preventivo",R12="Detectivo"),"Probabilidad",IF(R12="Correctivo","Impacto",""))</f>
        <v>Probabilidad</v>
      </c>
      <c r="R12" s="142" t="s">
        <v>92</v>
      </c>
      <c r="S12" s="142" t="s">
        <v>106</v>
      </c>
      <c r="T12" s="143" t="str">
        <f t="shared" ref="T12" si="7">IF(AND(R12="Preventivo",S12="Automático"),"50%",IF(AND(R12="Preventivo",S12="Manual"),"40%",IF(AND(R12="Detectivo",S12="Automático"),"40%",IF(AND(R12="Detectivo",S12="Manual"),"30%",IF(AND(R12="Correctivo",S12="Automático"),"35%",IF(AND(R12="Correctivo",S12="Manual"),"25%",""))))))</f>
        <v>50%</v>
      </c>
      <c r="U12" s="142" t="s">
        <v>94</v>
      </c>
      <c r="V12" s="142" t="s">
        <v>95</v>
      </c>
      <c r="W12" s="142" t="s">
        <v>96</v>
      </c>
      <c r="X12" s="144">
        <f>IFERROR(IF(AND(Q11="Probabilidad",Q12="Probabilidad"),(Z11-(+Z11*T12)),IF(AND(Q11="Impacto",Q12="Probabilidad"),(Z10-(+Z10*T12)),IF(Q12="Impacto",Z11,""))),"")</f>
        <v>0.15</v>
      </c>
      <c r="Y12" s="145" t="str">
        <f t="shared" si="4"/>
        <v>Muy Baja</v>
      </c>
      <c r="Z12" s="146">
        <f t="shared" si="2"/>
        <v>0.15</v>
      </c>
      <c r="AA12" s="145" t="str">
        <f t="shared" si="5"/>
        <v>Moderado</v>
      </c>
      <c r="AB12" s="146">
        <f>IFERROR(IF(AND(Q11="Impacto",Q12="Impacto"),(AB11-(+AB11*T12)),IF(AND(Q11="Probabilidad",Q12="Impacto"),(AB10-(+AB10*T12)),IF(Q12="Probabilidad",AB11,""))),"")</f>
        <v>0.60000000000000009</v>
      </c>
      <c r="AC12" s="147" t="str">
        <f t="shared" si="3"/>
        <v>Moderado</v>
      </c>
      <c r="AD12" s="148" t="s">
        <v>97</v>
      </c>
      <c r="AE12" s="154" t="s">
        <v>328</v>
      </c>
      <c r="AF12" s="149" t="s">
        <v>405</v>
      </c>
      <c r="AG12" s="149" t="s">
        <v>464</v>
      </c>
      <c r="AH12" s="151" t="s">
        <v>328</v>
      </c>
      <c r="AI12" s="149" t="s">
        <v>407</v>
      </c>
      <c r="AJ12" s="154" t="s">
        <v>328</v>
      </c>
      <c r="AK12" s="162"/>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49.5" customHeight="1" x14ac:dyDescent="0.3">
      <c r="A13" s="6"/>
      <c r="B13" s="245" t="s">
        <v>111</v>
      </c>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5" spans="1:68" x14ac:dyDescent="0.3">
      <c r="A15" s="1"/>
      <c r="B15" s="25" t="s">
        <v>112</v>
      </c>
      <c r="C15" s="1"/>
      <c r="D15" s="1"/>
      <c r="F15" s="1"/>
    </row>
  </sheetData>
  <mergeCells count="59">
    <mergeCell ref="B13:AJ13"/>
    <mergeCell ref="M10:M12"/>
    <mergeCell ref="N10:N12"/>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cfRule type="cellIs" dxfId="358" priority="227" operator="equal">
      <formula>"Muy Alta"</formula>
    </cfRule>
    <cfRule type="cellIs" dxfId="357" priority="228" operator="equal">
      <formula>"Alta"</formula>
    </cfRule>
    <cfRule type="cellIs" dxfId="356" priority="229" operator="equal">
      <formula>"Media"</formula>
    </cfRule>
    <cfRule type="cellIs" dxfId="355" priority="230" operator="equal">
      <formula>"Baja"</formula>
    </cfRule>
    <cfRule type="cellIs" dxfId="354" priority="231" operator="equal">
      <formula>"Muy Baja"</formula>
    </cfRule>
  </conditionalFormatting>
  <conditionalFormatting sqref="L10">
    <cfRule type="cellIs" dxfId="353" priority="222" operator="equal">
      <formula>"Catastrófico"</formula>
    </cfRule>
    <cfRule type="cellIs" dxfId="352" priority="223" operator="equal">
      <formula>"Mayor"</formula>
    </cfRule>
    <cfRule type="cellIs" dxfId="351" priority="224" operator="equal">
      <formula>"Moderado"</formula>
    </cfRule>
    <cfRule type="cellIs" dxfId="350" priority="225" operator="equal">
      <formula>"Menor"</formula>
    </cfRule>
    <cfRule type="cellIs" dxfId="349" priority="226" operator="equal">
      <formula>"Leve"</formula>
    </cfRule>
  </conditionalFormatting>
  <conditionalFormatting sqref="N10">
    <cfRule type="cellIs" dxfId="348" priority="218" operator="equal">
      <formula>"Extremo"</formula>
    </cfRule>
    <cfRule type="cellIs" dxfId="347" priority="219" operator="equal">
      <formula>"Alto"</formula>
    </cfRule>
    <cfRule type="cellIs" dxfId="346" priority="220" operator="equal">
      <formula>"Moderado"</formula>
    </cfRule>
    <cfRule type="cellIs" dxfId="345" priority="221" operator="equal">
      <formula>"Bajo"</formula>
    </cfRule>
  </conditionalFormatting>
  <conditionalFormatting sqref="Y10:Y12">
    <cfRule type="cellIs" dxfId="344" priority="213" operator="equal">
      <formula>"Muy Alta"</formula>
    </cfRule>
    <cfRule type="cellIs" dxfId="343" priority="214" operator="equal">
      <formula>"Alta"</formula>
    </cfRule>
    <cfRule type="cellIs" dxfId="342" priority="215" operator="equal">
      <formula>"Media"</formula>
    </cfRule>
    <cfRule type="cellIs" dxfId="341" priority="216" operator="equal">
      <formula>"Baja"</formula>
    </cfRule>
    <cfRule type="cellIs" dxfId="340" priority="217" operator="equal">
      <formula>"Muy Baja"</formula>
    </cfRule>
  </conditionalFormatting>
  <conditionalFormatting sqref="AA10:AA12">
    <cfRule type="cellIs" dxfId="339" priority="208" operator="equal">
      <formula>"Catastrófico"</formula>
    </cfRule>
    <cfRule type="cellIs" dxfId="338" priority="209" operator="equal">
      <formula>"Mayor"</formula>
    </cfRule>
    <cfRule type="cellIs" dxfId="337" priority="210" operator="equal">
      <formula>"Moderado"</formula>
    </cfRule>
    <cfRule type="cellIs" dxfId="336" priority="211" operator="equal">
      <formula>"Menor"</formula>
    </cfRule>
    <cfRule type="cellIs" dxfId="335" priority="212" operator="equal">
      <formula>"Leve"</formula>
    </cfRule>
  </conditionalFormatting>
  <conditionalFormatting sqref="AC10:AC12">
    <cfRule type="cellIs" dxfId="334" priority="204" operator="equal">
      <formula>"Extremo"</formula>
    </cfRule>
    <cfRule type="cellIs" dxfId="333" priority="205" operator="equal">
      <formula>"Alto"</formula>
    </cfRule>
    <cfRule type="cellIs" dxfId="332" priority="206" operator="equal">
      <formula>"Moderado"</formula>
    </cfRule>
    <cfRule type="cellIs" dxfId="331" priority="207" operator="equal">
      <formula>"Bajo"</formula>
    </cfRule>
  </conditionalFormatting>
  <conditionalFormatting sqref="K10:K12">
    <cfRule type="containsText" dxfId="330" priority="1" operator="containsText" text="❌">
      <formula>NOT(ISERROR(SEARCH("❌",K10)))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2060"/>
  </sheetPr>
  <dimension ref="A1:BP16"/>
  <sheetViews>
    <sheetView zoomScale="70" zoomScaleNormal="7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20" style="2" customWidth="1"/>
    <col min="2" max="2" width="15.42578125" style="2" customWidth="1"/>
    <col min="3" max="3" width="18.7109375" style="2" customWidth="1"/>
    <col min="4" max="4" width="17.7109375" style="2" customWidth="1"/>
    <col min="5" max="5" width="20.85546875" style="1" customWidth="1"/>
    <col min="6" max="6" width="19.85546875" style="5" customWidth="1"/>
    <col min="7" max="7" width="13.28515625" style="1" customWidth="1"/>
    <col min="8" max="8" width="15.85546875" style="1" customWidth="1"/>
    <col min="9" max="9" width="9" style="1" customWidth="1"/>
    <col min="10" max="11" width="11.28515625" style="1" customWidth="1"/>
    <col min="12" max="12" width="12.140625" style="1" customWidth="1"/>
    <col min="13" max="13" width="8.7109375" style="1" customWidth="1"/>
    <col min="14" max="14" width="25.85546875" style="1" customWidth="1"/>
    <col min="15" max="15" width="5.85546875" style="1" customWidth="1"/>
    <col min="16" max="16" width="64.85546875" style="1" customWidth="1"/>
    <col min="17" max="17" width="17.7109375" style="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5"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303</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6" customHeight="1" x14ac:dyDescent="0.3">
      <c r="A5" s="182" t="s">
        <v>62</v>
      </c>
      <c r="B5" s="183"/>
      <c r="C5" s="184" t="s">
        <v>304</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305</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13"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13"/>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53" customHeight="1" x14ac:dyDescent="0.25">
      <c r="A10" s="248">
        <v>1</v>
      </c>
      <c r="B10" s="237" t="s">
        <v>102</v>
      </c>
      <c r="C10" s="237" t="s">
        <v>306</v>
      </c>
      <c r="D10" s="237" t="s">
        <v>307</v>
      </c>
      <c r="E10" s="239" t="s">
        <v>334</v>
      </c>
      <c r="F10" s="237" t="s">
        <v>412</v>
      </c>
      <c r="G10" s="231">
        <v>180</v>
      </c>
      <c r="H10" s="233" t="str">
        <f>IF(G10&lt;=0,"",IF(G10&lt;=2,"Muy Baja",IF(G10&lt;=24,"Baja",IF(G10&lt;=500,"Media",IF(G10&lt;=5000,"Alta","Muy Alta")))))</f>
        <v>Media</v>
      </c>
      <c r="I10" s="217">
        <f>IF(H10="","",IF(H10="Muy Baja",0.2,IF(H10="Baja",0.4,IF(H10="Media",0.6,IF(H10="Alta",0.8,IF(H10="Muy Alta",1,))))))</f>
        <v>0.6</v>
      </c>
      <c r="J10" s="235" t="s">
        <v>104</v>
      </c>
      <c r="K10" s="217" t="str">
        <f>IF(NOT(ISERROR(MATCH(J10,'[5]Tabla Impacto'!$B$221:$B$223,0))),'[5]Tabla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33" t="str">
        <f>IF(OR(K10='[5]Tabla Impacto'!$C$11,K10='[5]Tabla Impacto'!$D$11),"Leve",IF(OR(K10='[5]Tabla Impacto'!$C$12,K10='[5]Tabla Impacto'!$D$12),"Menor",IF(OR(K10='[5]Tabla Impacto'!$C$13,K10='[5]Tabla Impacto'!$D$13),"Moderado",IF(OR(K10='[5]Tabla Impacto'!$C$14,K10='[5]Tabla Impacto'!$D$14),"Mayor",IF(OR(K10='[5]Tabla Impacto'!$C$15,K10='[5]Tabla Impacto'!$D$15),"Catastrófico","")))))</f>
        <v>Mayor</v>
      </c>
      <c r="M10" s="217">
        <f>IF(L10="","",IF(L10="Leve",0.2,IF(L10="Menor",0.4,IF(L10="Moderado",0.6,IF(L10="Mayor",0.8,IF(L10="Catastrófico",1,))))))</f>
        <v>0.8</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53">
        <v>1</v>
      </c>
      <c r="P10" s="155" t="s">
        <v>413</v>
      </c>
      <c r="Q10" s="141" t="str">
        <f t="shared" ref="Q10:Q13" si="0">IF(OR(R10="Preventivo",R10="Detectivo"),"Probabilidad",IF(R10="Correctivo","Impacto",""))</f>
        <v>Probabilidad</v>
      </c>
      <c r="R10" s="142" t="s">
        <v>98</v>
      </c>
      <c r="S10" s="142" t="s">
        <v>93</v>
      </c>
      <c r="T10" s="143" t="str">
        <f t="shared" ref="T10:T13" si="1">IF(AND(R10="Preventivo",S10="Automático"),"50%",IF(AND(R10="Preventivo",S10="Manual"),"40%",IF(AND(R10="Detectivo",S10="Automático"),"40%",IF(AND(R10="Detectivo",S10="Manual"),"30%",IF(AND(R10="Correctivo",S10="Automático"),"35%",IF(AND(R10="Correctivo",S10="Manual"),"25%",""))))))</f>
        <v>30%</v>
      </c>
      <c r="U10" s="142" t="s">
        <v>94</v>
      </c>
      <c r="V10" s="142" t="s">
        <v>95</v>
      </c>
      <c r="W10" s="142" t="s">
        <v>96</v>
      </c>
      <c r="X10" s="144">
        <f>IFERROR(IF(Q10="Probabilidad",(I10-(+I10*T10)),IF(Q10="Impacto",I10,"")),"")</f>
        <v>0.42</v>
      </c>
      <c r="Y10" s="145" t="str">
        <f>IFERROR(IF(X10="","",IF(X10&lt;=0.2,"Muy Baja",IF(X10&lt;=0.4,"Baja",IF(X10&lt;=0.6,"Media",IF(X10&lt;=0.8,"Alta","Muy Alta"))))),"")</f>
        <v>Media</v>
      </c>
      <c r="Z10" s="146">
        <f t="shared" ref="Z10:Z13" si="2">+X10</f>
        <v>0.42</v>
      </c>
      <c r="AA10" s="145" t="str">
        <f>IFERROR(IF(AB10="","",IF(AB10&lt;=0.2,"Leve",IF(AB10&lt;=0.4,"Menor",IF(AB10&lt;=0.6,"Moderado",IF(AB10&lt;=0.8,"Mayor","Catastrófico"))))),"")</f>
        <v>Mayor</v>
      </c>
      <c r="AB10" s="146">
        <f>IFERROR(IF(Q10="Impacto",(M10-(+M10*T10)),IF(Q10="Probabilidad",M10,"")),"")</f>
        <v>0.8</v>
      </c>
      <c r="AC10" s="147" t="str">
        <f t="shared" ref="AC10:AC13"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8" t="s">
        <v>97</v>
      </c>
      <c r="AE10" s="149" t="s">
        <v>392</v>
      </c>
      <c r="AF10" s="149" t="s">
        <v>308</v>
      </c>
      <c r="AG10" s="149" t="s">
        <v>464</v>
      </c>
      <c r="AH10" s="149" t="s">
        <v>464</v>
      </c>
      <c r="AI10" s="150" t="s">
        <v>414</v>
      </c>
      <c r="AJ10" s="149" t="s">
        <v>386</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90"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462" t="s">
        <v>478</v>
      </c>
      <c r="Q11" s="141" t="str">
        <f t="shared" si="0"/>
        <v>Probabilidad</v>
      </c>
      <c r="R11" s="142" t="s">
        <v>92</v>
      </c>
      <c r="S11" s="142" t="s">
        <v>93</v>
      </c>
      <c r="T11" s="143" t="str">
        <f t="shared" si="1"/>
        <v>40%</v>
      </c>
      <c r="U11" s="142" t="s">
        <v>94</v>
      </c>
      <c r="V11" s="142" t="s">
        <v>95</v>
      </c>
      <c r="W11" s="142" t="s">
        <v>96</v>
      </c>
      <c r="X11" s="144">
        <f>IFERROR(IF(AND(Q10="Probabilidad",Q11="Probabilidad"),(Z10-(+Z10*T11)),IF(Q11="Probabilidad",(I10-(+I10*T11)),IF(Q11="Impacto",Z10,""))),"")</f>
        <v>0.252</v>
      </c>
      <c r="Y11" s="145" t="str">
        <f t="shared" ref="Y11:Y12" si="4">IFERROR(IF(X11="","",IF(X11&lt;=0.2,"Muy Baja",IF(X11&lt;=0.4,"Baja",IF(X11&lt;=0.6,"Media",IF(X11&lt;=0.8,"Alta","Muy Alta"))))),"")</f>
        <v>Baja</v>
      </c>
      <c r="Z11" s="146">
        <f t="shared" si="2"/>
        <v>0.252</v>
      </c>
      <c r="AA11" s="145" t="str">
        <f t="shared" ref="AA11:AA12" si="5">IFERROR(IF(AB11="","",IF(AB11&lt;=0.2,"Leve",IF(AB11&lt;=0.4,"Menor",IF(AB11&lt;=0.6,"Moderado",IF(AB11&lt;=0.8,"Mayor","Catastrófico"))))),"")</f>
        <v>Mayor</v>
      </c>
      <c r="AB11" s="146">
        <f>IFERROR(IF(AND(Q10="Impacto",Q11="Impacto"),(AB10-(+AB10*T11)),IF(Q11="Impacto",($M$10-(+$M$10*T11)),IF(Q11="Probabilidad",AB10,""))),"")</f>
        <v>0.8</v>
      </c>
      <c r="AC11" s="147" t="str">
        <f t="shared" si="3"/>
        <v>Alto</v>
      </c>
      <c r="AD11" s="148" t="s">
        <v>97</v>
      </c>
      <c r="AE11" s="154" t="s">
        <v>328</v>
      </c>
      <c r="AF11" s="149" t="s">
        <v>308</v>
      </c>
      <c r="AG11" s="149" t="s">
        <v>464</v>
      </c>
      <c r="AH11" s="154" t="s">
        <v>328</v>
      </c>
      <c r="AI11" s="149" t="s">
        <v>415</v>
      </c>
      <c r="AJ11" s="154" t="s">
        <v>328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96" customHeight="1" x14ac:dyDescent="0.3">
      <c r="A12" s="249"/>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3</v>
      </c>
      <c r="P12" s="140" t="s">
        <v>309</v>
      </c>
      <c r="Q12" s="141" t="str">
        <f t="shared" si="0"/>
        <v>Probabilidad</v>
      </c>
      <c r="R12" s="142" t="s">
        <v>92</v>
      </c>
      <c r="S12" s="142" t="s">
        <v>93</v>
      </c>
      <c r="T12" s="143" t="str">
        <f t="shared" si="1"/>
        <v>40%</v>
      </c>
      <c r="U12" s="142" t="s">
        <v>94</v>
      </c>
      <c r="V12" s="142" t="s">
        <v>95</v>
      </c>
      <c r="W12" s="142" t="s">
        <v>96</v>
      </c>
      <c r="X12" s="144">
        <f>IFERROR(IF(AND(Q11="Probabilidad",Q12="Probabilidad"),(Z11-(+Z11*T12)),IF(AND(Q11="Impacto",Q12="Probabilidad"),(Z10-(+Z10*T12)),IF(Q12="Impacto",Z11,""))),"")</f>
        <v>0.1512</v>
      </c>
      <c r="Y12" s="145" t="str">
        <f t="shared" si="4"/>
        <v>Muy Baja</v>
      </c>
      <c r="Z12" s="146">
        <f t="shared" si="2"/>
        <v>0.1512</v>
      </c>
      <c r="AA12" s="145" t="str">
        <f t="shared" si="5"/>
        <v>Mayor</v>
      </c>
      <c r="AB12" s="146">
        <f>IFERROR(IF(AND(Q11="Impacto",Q12="Impacto"),(AB11-(+AB11*T12)),IF(AND(Q11="Probabilidad",Q12="Impacto"),(AB10-(+AB10*T12)),IF(Q12="Probabilidad",AB11,""))),"")</f>
        <v>0.8</v>
      </c>
      <c r="AC12" s="147" t="str">
        <f t="shared" si="3"/>
        <v>Alto</v>
      </c>
      <c r="AD12" s="148" t="s">
        <v>97</v>
      </c>
      <c r="AE12" s="154" t="s">
        <v>328</v>
      </c>
      <c r="AF12" s="149" t="s">
        <v>308</v>
      </c>
      <c r="AG12" s="149" t="s">
        <v>464</v>
      </c>
      <c r="AH12" s="154" t="s">
        <v>328</v>
      </c>
      <c r="AI12" s="149" t="s">
        <v>408</v>
      </c>
      <c r="AJ12" s="154" t="s">
        <v>328</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318.75" customHeight="1" x14ac:dyDescent="0.3">
      <c r="A13" s="170">
        <v>2</v>
      </c>
      <c r="B13" s="179" t="s">
        <v>89</v>
      </c>
      <c r="C13" s="179" t="s">
        <v>310</v>
      </c>
      <c r="D13" s="179" t="s">
        <v>311</v>
      </c>
      <c r="E13" s="180" t="s">
        <v>312</v>
      </c>
      <c r="F13" s="179" t="s">
        <v>103</v>
      </c>
      <c r="G13" s="176">
        <f>260</f>
        <v>260</v>
      </c>
      <c r="H13" s="177" t="str">
        <f>IF(G13&lt;=0,"",IF(G13&lt;=2,"Muy Baja",IF(G13&lt;=24,"Baja",IF(G13&lt;=500,"Media",IF(G13&lt;=5000,"Alta","Muy Alta")))))</f>
        <v>Media</v>
      </c>
      <c r="I13" s="174">
        <f>IF(H13="","",IF(H13="Muy Baja",0.2,IF(H13="Baja",0.4,IF(H13="Media",0.6,IF(H13="Alta",0.8,IF(H13="Muy Alta",1,))))))</f>
        <v>0.6</v>
      </c>
      <c r="J13" s="178" t="s">
        <v>91</v>
      </c>
      <c r="K13" s="174" t="str">
        <f>IF(NOT(ISERROR(MATCH(J13,'[5]Tabla Impacto'!$B$221:$B$223,0))),'[5]Tabla Impacto'!$F$223&amp;"Por favor no seleccionar los criterios de impacto(Afectación Económica o presupuestal y Pérdida Reputacional)",J13)</f>
        <v xml:space="preserve">     El riesgo afecta la imagen de la entidad con algunos usuarios de relevancia frente al logro de los objetivos</v>
      </c>
      <c r="L13" s="177" t="str">
        <f>IF(OR(K13='[5]Tabla Impacto'!$C$11,K13='[5]Tabla Impacto'!$D$11),"Leve",IF(OR(K13='[5]Tabla Impacto'!$C$12,K13='[5]Tabla Impacto'!$D$12),"Menor",IF(OR(K13='[5]Tabla Impacto'!$C$13,K13='[5]Tabla Impacto'!$D$13),"Moderado",IF(OR(K13='[5]Tabla Impacto'!$C$14,K13='[5]Tabla Impacto'!$D$14),"Mayor",IF(OR(K13='[5]Tabla Impacto'!$C$15,K13='[5]Tabla Impacto'!$D$15),"Catastrófico","")))))</f>
        <v>Moderado</v>
      </c>
      <c r="M13" s="174">
        <f>IF(L13="","",IF(L13="Leve",0.2,IF(L13="Menor",0.4,IF(L13="Moderado",0.6,IF(L13="Mayor",0.8,IF(L13="Catastrófico",1,))))))</f>
        <v>0.6</v>
      </c>
      <c r="N13" s="175"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Moderado</v>
      </c>
      <c r="O13" s="153">
        <v>1</v>
      </c>
      <c r="P13" s="149" t="s">
        <v>479</v>
      </c>
      <c r="Q13" s="141" t="str">
        <f t="shared" si="0"/>
        <v>Probabilidad</v>
      </c>
      <c r="R13" s="142" t="s">
        <v>92</v>
      </c>
      <c r="S13" s="142" t="s">
        <v>93</v>
      </c>
      <c r="T13" s="143" t="str">
        <f t="shared" si="1"/>
        <v>40%</v>
      </c>
      <c r="U13" s="142" t="s">
        <v>94</v>
      </c>
      <c r="V13" s="142" t="s">
        <v>95</v>
      </c>
      <c r="W13" s="142" t="s">
        <v>96</v>
      </c>
      <c r="X13" s="144">
        <f>IFERROR(IF(Q13="Probabilidad",(I13-(+I13*T13)),IF(Q13="Impacto",I13,"")),"")</f>
        <v>0.36</v>
      </c>
      <c r="Y13" s="145" t="str">
        <f>IFERROR(IF(X13="","",IF(X13&lt;=0.2,"Muy Baja",IF(X13&lt;=0.4,"Baja",IF(X13&lt;=0.6,"Media",IF(X13&lt;=0.8,"Alta","Muy Alta"))))),"")</f>
        <v>Baja</v>
      </c>
      <c r="Z13" s="146">
        <f t="shared" si="2"/>
        <v>0.36</v>
      </c>
      <c r="AA13" s="145" t="str">
        <f>IFERROR(IF(AB13="","",IF(AB13&lt;=0.2,"Leve",IF(AB13&lt;=0.4,"Menor",IF(AB13&lt;=0.6,"Moderado",IF(AB13&lt;=0.8,"Mayor","Catastrófico"))))),"")</f>
        <v>Moderado</v>
      </c>
      <c r="AB13" s="146">
        <f>IFERROR(IF(Q13="Impacto",(M13-(+M13*T13)),IF(Q13="Probabilidad",M13,"")),"")</f>
        <v>0.6</v>
      </c>
      <c r="AC13" s="147" t="str">
        <f t="shared" si="3"/>
        <v>Moderado</v>
      </c>
      <c r="AD13" s="148" t="s">
        <v>97</v>
      </c>
      <c r="AE13" s="149" t="s">
        <v>384</v>
      </c>
      <c r="AF13" s="149" t="s">
        <v>308</v>
      </c>
      <c r="AG13" s="149" t="s">
        <v>465</v>
      </c>
      <c r="AH13" s="150" t="s">
        <v>466</v>
      </c>
      <c r="AI13" s="149" t="s">
        <v>383</v>
      </c>
      <c r="AJ13" s="149" t="s">
        <v>385</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49.5" customHeight="1" x14ac:dyDescent="0.3">
      <c r="A14" s="6"/>
      <c r="B14" s="245" t="s">
        <v>111</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7"/>
    </row>
    <row r="16" spans="1:68" x14ac:dyDescent="0.3">
      <c r="A16" s="1"/>
      <c r="B16" s="25" t="s">
        <v>112</v>
      </c>
      <c r="C16" s="1"/>
      <c r="D16" s="1"/>
      <c r="F16" s="1"/>
    </row>
  </sheetData>
  <dataConsolidate/>
  <mergeCells count="59">
    <mergeCell ref="B14:AJ14"/>
    <mergeCell ref="M10:M12"/>
    <mergeCell ref="N10:N12"/>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3 Y10:Y13">
    <cfRule type="cellIs" dxfId="329" priority="227" operator="equal">
      <formula>"Muy Alta"</formula>
    </cfRule>
    <cfRule type="cellIs" dxfId="328" priority="228" operator="equal">
      <formula>"Alta"</formula>
    </cfRule>
    <cfRule type="cellIs" dxfId="327" priority="229" operator="equal">
      <formula>"Media"</formula>
    </cfRule>
    <cfRule type="cellIs" dxfId="326" priority="230" operator="equal">
      <formula>"Baja"</formula>
    </cfRule>
    <cfRule type="cellIs" dxfId="325" priority="231" operator="equal">
      <formula>"Muy Baja"</formula>
    </cfRule>
  </conditionalFormatting>
  <conditionalFormatting sqref="K10:K13">
    <cfRule type="containsText" dxfId="324" priority="1" operator="containsText" text="❌">
      <formula>NOT(ISERROR(SEARCH("❌",K10)))</formula>
    </cfRule>
  </conditionalFormatting>
  <conditionalFormatting sqref="L10 L13 AA10:AA13">
    <cfRule type="cellIs" dxfId="323" priority="222" operator="equal">
      <formula>"Catastrófico"</formula>
    </cfRule>
    <cfRule type="cellIs" dxfId="322" priority="223" operator="equal">
      <formula>"Mayor"</formula>
    </cfRule>
    <cfRule type="cellIs" dxfId="321" priority="224" operator="equal">
      <formula>"Moderado"</formula>
    </cfRule>
    <cfRule type="cellIs" dxfId="320" priority="225" operator="equal">
      <formula>"Menor"</formula>
    </cfRule>
    <cfRule type="cellIs" dxfId="319" priority="226" operator="equal">
      <formula>"Leve"</formula>
    </cfRule>
  </conditionalFormatting>
  <conditionalFormatting sqref="N10 AC10:AC13">
    <cfRule type="cellIs" dxfId="318" priority="218" operator="equal">
      <formula>"Extremo"</formula>
    </cfRule>
    <cfRule type="cellIs" dxfId="317" priority="219" operator="equal">
      <formula>"Alto"</formula>
    </cfRule>
    <cfRule type="cellIs" dxfId="316" priority="220" operator="equal">
      <formula>"Moderado"</formula>
    </cfRule>
    <cfRule type="cellIs" dxfId="315" priority="221" operator="equal">
      <formula>"Bajo"</formula>
    </cfRule>
  </conditionalFormatting>
  <conditionalFormatting sqref="N13">
    <cfRule type="cellIs" dxfId="314" priority="200" operator="equal">
      <formula>"Extremo"</formula>
    </cfRule>
    <cfRule type="cellIs" dxfId="313" priority="201" operator="equal">
      <formula>"Alto"</formula>
    </cfRule>
    <cfRule type="cellIs" dxfId="312" priority="202" operator="equal">
      <formula>"Moderado"</formula>
    </cfRule>
    <cfRule type="cellIs" dxfId="311" priority="203" operator="equal">
      <formula>"Bajo"</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2060"/>
  </sheetPr>
  <dimension ref="A1:BP14"/>
  <sheetViews>
    <sheetView zoomScale="60" zoomScaleNormal="6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customWidth="1"/>
    <col min="10" max="10" width="27.140625" style="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290</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291</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292</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64</v>
      </c>
      <c r="B7" s="251"/>
      <c r="C7" s="251"/>
      <c r="D7" s="251"/>
      <c r="E7" s="251"/>
      <c r="F7" s="251"/>
      <c r="G7" s="252"/>
      <c r="H7" s="250" t="s">
        <v>65</v>
      </c>
      <c r="I7" s="251"/>
      <c r="J7" s="251"/>
      <c r="K7" s="251"/>
      <c r="L7" s="251"/>
      <c r="M7" s="251"/>
      <c r="N7" s="252"/>
      <c r="O7" s="250" t="s">
        <v>66</v>
      </c>
      <c r="P7" s="251"/>
      <c r="Q7" s="251"/>
      <c r="R7" s="251"/>
      <c r="S7" s="251"/>
      <c r="T7" s="251"/>
      <c r="U7" s="251"/>
      <c r="V7" s="251"/>
      <c r="W7" s="252"/>
      <c r="X7" s="250" t="s">
        <v>67</v>
      </c>
      <c r="Y7" s="251"/>
      <c r="Z7" s="251"/>
      <c r="AA7" s="251"/>
      <c r="AB7" s="251"/>
      <c r="AC7" s="251"/>
      <c r="AD7" s="252"/>
      <c r="AE7" s="250" t="s">
        <v>68</v>
      </c>
      <c r="AF7" s="251"/>
      <c r="AG7" s="251"/>
      <c r="AH7" s="251"/>
      <c r="AI7" s="251"/>
      <c r="AJ7" s="25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61" t="s">
        <v>69</v>
      </c>
      <c r="B8" s="263" t="s">
        <v>15</v>
      </c>
      <c r="C8" s="254" t="s">
        <v>17</v>
      </c>
      <c r="D8" s="254" t="s">
        <v>19</v>
      </c>
      <c r="E8" s="264" t="s">
        <v>21</v>
      </c>
      <c r="F8" s="253" t="s">
        <v>23</v>
      </c>
      <c r="G8" s="254" t="s">
        <v>70</v>
      </c>
      <c r="H8" s="265" t="s">
        <v>71</v>
      </c>
      <c r="I8" s="257" t="s">
        <v>72</v>
      </c>
      <c r="J8" s="253" t="s">
        <v>73</v>
      </c>
      <c r="K8" s="253" t="s">
        <v>74</v>
      </c>
      <c r="L8" s="255" t="s">
        <v>75</v>
      </c>
      <c r="M8" s="257" t="s">
        <v>72</v>
      </c>
      <c r="N8" s="254" t="s">
        <v>29</v>
      </c>
      <c r="O8" s="259" t="s">
        <v>76</v>
      </c>
      <c r="P8" s="266" t="s">
        <v>31</v>
      </c>
      <c r="Q8" s="253" t="s">
        <v>33</v>
      </c>
      <c r="R8" s="258" t="s">
        <v>77</v>
      </c>
      <c r="S8" s="258"/>
      <c r="T8" s="258"/>
      <c r="U8" s="258"/>
      <c r="V8" s="258"/>
      <c r="W8" s="258"/>
      <c r="X8" s="267" t="s">
        <v>78</v>
      </c>
      <c r="Y8" s="267" t="s">
        <v>79</v>
      </c>
      <c r="Z8" s="267" t="s">
        <v>72</v>
      </c>
      <c r="AA8" s="267" t="s">
        <v>80</v>
      </c>
      <c r="AB8" s="267" t="s">
        <v>72</v>
      </c>
      <c r="AC8" s="267" t="s">
        <v>81</v>
      </c>
      <c r="AD8" s="259" t="s">
        <v>49</v>
      </c>
      <c r="AE8" s="266" t="s">
        <v>68</v>
      </c>
      <c r="AF8" s="258"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2"/>
      <c r="B9" s="263"/>
      <c r="C9" s="258"/>
      <c r="D9" s="258"/>
      <c r="E9" s="263"/>
      <c r="F9" s="254"/>
      <c r="G9" s="258"/>
      <c r="H9" s="254"/>
      <c r="I9" s="256"/>
      <c r="J9" s="254"/>
      <c r="K9" s="254"/>
      <c r="L9" s="256"/>
      <c r="M9" s="256"/>
      <c r="N9" s="258"/>
      <c r="O9" s="260"/>
      <c r="P9" s="266"/>
      <c r="Q9" s="254"/>
      <c r="R9" s="7" t="s">
        <v>83</v>
      </c>
      <c r="S9" s="7" t="s">
        <v>84</v>
      </c>
      <c r="T9" s="7" t="s">
        <v>85</v>
      </c>
      <c r="U9" s="7" t="s">
        <v>86</v>
      </c>
      <c r="V9" s="7" t="s">
        <v>87</v>
      </c>
      <c r="W9" s="7" t="s">
        <v>88</v>
      </c>
      <c r="X9" s="267"/>
      <c r="Y9" s="267"/>
      <c r="Z9" s="267"/>
      <c r="AA9" s="267"/>
      <c r="AB9" s="267"/>
      <c r="AC9" s="267"/>
      <c r="AD9" s="260"/>
      <c r="AE9" s="266"/>
      <c r="AF9" s="258"/>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1">
        <v>1</v>
      </c>
      <c r="B10" s="223" t="s">
        <v>89</v>
      </c>
      <c r="C10" s="223" t="s">
        <v>293</v>
      </c>
      <c r="D10" s="223" t="s">
        <v>294</v>
      </c>
      <c r="E10" s="225" t="s">
        <v>295</v>
      </c>
      <c r="F10" s="223" t="s">
        <v>90</v>
      </c>
      <c r="G10" s="227">
        <v>890</v>
      </c>
      <c r="H10" s="229" t="str">
        <f>IF(G10&lt;=0,"",IF(G10&lt;=2,"Muy Baja",IF(G10&lt;=24,"Baja",IF(G10&lt;=500,"Media",IF(G10&lt;=5000,"Alta","Muy Alta")))))</f>
        <v>Alta</v>
      </c>
      <c r="I10" s="241">
        <f>IF(H10="","",IF(H10="Muy Baja",0.2,IF(H10="Baja",0.4,IF(H10="Media",0.6,IF(H10="Alta",0.8,IF(H10="Muy Alta",1,))))))</f>
        <v>0.8</v>
      </c>
      <c r="J10" s="243" t="s">
        <v>101</v>
      </c>
      <c r="K10" s="241" t="str">
        <f>IF(NOT(ISERROR(MATCH(J10,'[6]Tabla Impacto'!$B$221:$B$223,0))),'[6]Tabla Impacto'!$F$223&amp;"Por favor no seleccionar los criterios de impacto(Afectación Económica o presupuestal y Pérdida Reputacional)",J10)</f>
        <v xml:space="preserve">     El riesgo afecta la imagen de la entidad a nivel nacional, con efecto publicitarios sostenible a nivel país</v>
      </c>
      <c r="L10" s="229" t="str">
        <f>IF(OR(K10='[6]Tabla Impacto'!$C$11,K10='[6]Tabla Impacto'!$D$11),"Leve",IF(OR(K10='[6]Tabla Impacto'!$C$12,K10='[6]Tabla Impacto'!$D$12),"Menor",IF(OR(K10='[6]Tabla Impacto'!$C$13,K10='[6]Tabla Impacto'!$D$13),"Moderado",IF(OR(K10='[6]Tabla Impacto'!$C$14,K10='[6]Tabla Impacto'!$D$14),"Mayor",IF(OR(K10='[6]Tabla Impacto'!$C$15,K10='[6]Tabla Impacto'!$D$15),"Catastrófico","")))))</f>
        <v>Catastrófico</v>
      </c>
      <c r="M10" s="241">
        <f>IF(L10="","",IF(L10="Leve",0.2,IF(L10="Menor",0.4,IF(L10="Moderado",0.6,IF(L10="Mayor",0.8,IF(L10="Catastrófico",1,))))))</f>
        <v>1</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Extremo</v>
      </c>
      <c r="O10" s="6">
        <v>1</v>
      </c>
      <c r="P10" s="123" t="s">
        <v>451</v>
      </c>
      <c r="Q10" s="38" t="str">
        <f t="shared" ref="Q10:Q11" si="0">IF(OR(R10="Preventivo",R10="Detectivo"),"Probabilidad",IF(R10="Correctivo","Impacto",""))</f>
        <v>Probabilidad</v>
      </c>
      <c r="R10" s="39" t="s">
        <v>92</v>
      </c>
      <c r="S10" s="39" t="s">
        <v>106</v>
      </c>
      <c r="T10" s="40" t="str">
        <f t="shared" ref="T10:T11" si="1">IF(AND(R10="Preventivo",S10="Automático"),"50%",IF(AND(R10="Preventivo",S10="Manual"),"40%",IF(AND(R10="Detectivo",S10="Automático"),"40%",IF(AND(R10="Detectivo",S10="Manual"),"30%",IF(AND(R10="Correctivo",S10="Automático"),"35%",IF(AND(R10="Correctivo",S10="Manual"),"25%",""))))))</f>
        <v>50%</v>
      </c>
      <c r="U10" s="39" t="s">
        <v>94</v>
      </c>
      <c r="V10" s="39" t="s">
        <v>95</v>
      </c>
      <c r="W10" s="39" t="s">
        <v>96</v>
      </c>
      <c r="X10" s="24">
        <f>IFERROR(IF(Q10="Probabilidad",(I10-(+I10*T10)),IF(Q10="Impacto",I10,"")),"")</f>
        <v>0.4</v>
      </c>
      <c r="Y10" s="41" t="str">
        <f>IFERROR(IF(X10="","",IF(X10&lt;=0.2,"Muy Baja",IF(X10&lt;=0.4,"Baja",IF(X10&lt;=0.6,"Media",IF(X10&lt;=0.8,"Alta","Muy Alta"))))),"")</f>
        <v>Baja</v>
      </c>
      <c r="Z10" s="42">
        <f t="shared" ref="Z10:Z11" si="2">+X10</f>
        <v>0.4</v>
      </c>
      <c r="AA10" s="41" t="str">
        <f>IFERROR(IF(AB10="","",IF(AB10&lt;=0.2,"Leve",IF(AB10&lt;=0.4,"Menor",IF(AB10&lt;=0.6,"Moderado",IF(AB10&lt;=0.8,"Mayor","Catastrófico"))))),"")</f>
        <v>Catastrófico</v>
      </c>
      <c r="AB10" s="42">
        <f>IFERROR(IF(Q10="Impacto",(M10-(+M10*T10)),IF(Q10="Probabilidad",M10,"")),"")</f>
        <v>1</v>
      </c>
      <c r="AC10" s="43" t="str">
        <f t="shared" ref="AC10:AC11"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Extremo</v>
      </c>
      <c r="AD10" s="44" t="s">
        <v>97</v>
      </c>
      <c r="AE10" s="37" t="s">
        <v>328</v>
      </c>
      <c r="AF10" s="45" t="s">
        <v>296</v>
      </c>
      <c r="AG10" s="45" t="s">
        <v>467</v>
      </c>
      <c r="AH10" s="137" t="s">
        <v>328</v>
      </c>
      <c r="AI10" s="137" t="s">
        <v>409</v>
      </c>
      <c r="AJ10" s="37"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2"/>
      <c r="B11" s="224"/>
      <c r="C11" s="224"/>
      <c r="D11" s="224"/>
      <c r="E11" s="226"/>
      <c r="F11" s="224"/>
      <c r="G11" s="228"/>
      <c r="H11" s="230"/>
      <c r="I11" s="242"/>
      <c r="J11" s="244"/>
      <c r="K11" s="242">
        <f ca="1">IF(NOT(ISERROR(MATCH(J11,_xlfn.ANCHORARRAY(#REF!),0))),#REF!&amp;"Por favor no seleccionar los criterios de impacto",J11)</f>
        <v>0</v>
      </c>
      <c r="L11" s="230"/>
      <c r="M11" s="242"/>
      <c r="N11" s="216"/>
      <c r="O11" s="6">
        <v>2</v>
      </c>
      <c r="P11" s="124" t="s">
        <v>411</v>
      </c>
      <c r="Q11" s="38" t="str">
        <f t="shared" si="0"/>
        <v>Probabilidad</v>
      </c>
      <c r="R11" s="39" t="s">
        <v>92</v>
      </c>
      <c r="S11" s="39" t="s">
        <v>106</v>
      </c>
      <c r="T11" s="40" t="str">
        <f t="shared" si="1"/>
        <v>50%</v>
      </c>
      <c r="U11" s="39" t="s">
        <v>94</v>
      </c>
      <c r="V11" s="39" t="s">
        <v>95</v>
      </c>
      <c r="W11" s="39" t="s">
        <v>96</v>
      </c>
      <c r="X11" s="24">
        <f>IFERROR(IF(AND(Q10="Probabilidad",Q11="Probabilidad"),(Z10-(+Z10*T11)),IF(Q11="Probabilidad",(I10-(+I10*T11)),IF(Q11="Impacto",Z10,""))),"")</f>
        <v>0.2</v>
      </c>
      <c r="Y11" s="41" t="str">
        <f t="shared" ref="Y11" si="4">IFERROR(IF(X11="","",IF(X11&lt;=0.2,"Muy Baja",IF(X11&lt;=0.4,"Baja",IF(X11&lt;=0.6,"Media",IF(X11&lt;=0.8,"Alta","Muy Alta"))))),"")</f>
        <v>Muy Baja</v>
      </c>
      <c r="Z11" s="42">
        <f t="shared" si="2"/>
        <v>0.2</v>
      </c>
      <c r="AA11" s="41" t="str">
        <f t="shared" ref="AA11" si="5">IFERROR(IF(AB11="","",IF(AB11&lt;=0.2,"Leve",IF(AB11&lt;=0.4,"Menor",IF(AB11&lt;=0.6,"Moderado",IF(AB11&lt;=0.8,"Mayor","Catastrófico"))))),"")</f>
        <v>Catastrófico</v>
      </c>
      <c r="AB11" s="42">
        <f>IFERROR(IF(AND(Q10="Impacto",Q11="Impacto"),(AB10-(+AB10*T11)),IF(Q11="Impacto",($M$10-(+$M$10*T11)),IF(Q11="Probabilidad",AB10,""))),"")</f>
        <v>1</v>
      </c>
      <c r="AC11" s="43" t="str">
        <f t="shared" si="3"/>
        <v>Extremo</v>
      </c>
      <c r="AD11" s="44" t="s">
        <v>97</v>
      </c>
      <c r="AE11" s="165"/>
      <c r="AF11" s="45" t="s">
        <v>296</v>
      </c>
      <c r="AG11" s="138" t="s">
        <v>467</v>
      </c>
      <c r="AH11" s="161"/>
      <c r="AI11" s="45" t="s">
        <v>410</v>
      </c>
      <c r="AJ11" s="165"/>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49.5" customHeight="1" x14ac:dyDescent="0.3">
      <c r="A12" s="6"/>
      <c r="B12" s="245" t="s">
        <v>111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4" spans="1:68" x14ac:dyDescent="0.3">
      <c r="A14" s="1"/>
      <c r="B14" s="25" t="s">
        <v>112</v>
      </c>
      <c r="C14" s="1"/>
      <c r="D14" s="1"/>
      <c r="F14" s="1"/>
    </row>
  </sheetData>
  <dataConsolidate/>
  <mergeCells count="59">
    <mergeCell ref="B12:AJ12"/>
    <mergeCell ref="M10:M11"/>
    <mergeCell ref="N10:N11"/>
    <mergeCell ref="G10:G11"/>
    <mergeCell ref="H10:H11"/>
    <mergeCell ref="I10:I11"/>
    <mergeCell ref="J10:J11"/>
    <mergeCell ref="K10:K11"/>
    <mergeCell ref="L10:L11"/>
    <mergeCell ref="A10:A11"/>
    <mergeCell ref="B10:B11"/>
    <mergeCell ref="C10:C11"/>
    <mergeCell ref="D10:D11"/>
    <mergeCell ref="E10:E11"/>
    <mergeCell ref="F10:F11"/>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Y10:Y11">
    <cfRule type="cellIs" dxfId="310" priority="227" operator="equal">
      <formula>"Muy Alta"</formula>
    </cfRule>
    <cfRule type="cellIs" dxfId="309" priority="228" operator="equal">
      <formula>"Alta"</formula>
    </cfRule>
    <cfRule type="cellIs" dxfId="308" priority="229" operator="equal">
      <formula>"Media"</formula>
    </cfRule>
    <cfRule type="cellIs" dxfId="307" priority="230" operator="equal">
      <formula>"Baja"</formula>
    </cfRule>
    <cfRule type="cellIs" dxfId="306" priority="231" operator="equal">
      <formula>"Muy Baja"</formula>
    </cfRule>
  </conditionalFormatting>
  <conditionalFormatting sqref="K10:K11">
    <cfRule type="containsText" dxfId="305" priority="1" operator="containsText" text="❌">
      <formula>NOT(ISERROR(SEARCH("❌",K10)))</formula>
    </cfRule>
  </conditionalFormatting>
  <conditionalFormatting sqref="L10 AA10:AA11">
    <cfRule type="cellIs" dxfId="304" priority="222" operator="equal">
      <formula>"Catastrófico"</formula>
    </cfRule>
    <cfRule type="cellIs" dxfId="303" priority="223" operator="equal">
      <formula>"Mayor"</formula>
    </cfRule>
    <cfRule type="cellIs" dxfId="302" priority="224" operator="equal">
      <formula>"Moderado"</formula>
    </cfRule>
    <cfRule type="cellIs" dxfId="301" priority="225" operator="equal">
      <formula>"Menor"</formula>
    </cfRule>
    <cfRule type="cellIs" dxfId="300" priority="226" operator="equal">
      <formula>"Leve"</formula>
    </cfRule>
  </conditionalFormatting>
  <conditionalFormatting sqref="N10 AC10:AC11">
    <cfRule type="cellIs" dxfId="299" priority="218" operator="equal">
      <formula>"Extremo"</formula>
    </cfRule>
    <cfRule type="cellIs" dxfId="298" priority="219" operator="equal">
      <formula>"Alto"</formula>
    </cfRule>
    <cfRule type="cellIs" dxfId="297" priority="220" operator="equal">
      <formula>"Moderado"</formula>
    </cfRule>
    <cfRule type="cellIs" dxfId="296" priority="221" operator="equal">
      <formula>"Bajo"</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2060"/>
  </sheetPr>
  <dimension ref="A1:BP15"/>
  <sheetViews>
    <sheetView zoomScale="50" zoomScaleNormal="50" workbookViewId="0">
      <pane xSplit="16" ySplit="2" topLeftCell="AC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267</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182" t="s">
        <v>62</v>
      </c>
      <c r="B5" s="183"/>
      <c r="C5" s="196" t="s">
        <v>268</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269</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48">
        <v>1</v>
      </c>
      <c r="B10" s="237" t="s">
        <v>102</v>
      </c>
      <c r="C10" s="237" t="s">
        <v>270</v>
      </c>
      <c r="D10" s="237" t="s">
        <v>271</v>
      </c>
      <c r="E10" s="239" t="s">
        <v>380</v>
      </c>
      <c r="F10" s="237" t="s">
        <v>103</v>
      </c>
      <c r="G10" s="231">
        <f>12*3</f>
        <v>36</v>
      </c>
      <c r="H10" s="233" t="str">
        <f>IF(G10&lt;=0,"",IF(G10&lt;=2,"Muy Baja",IF(G10&lt;=24,"Baja",IF(G10&lt;=500,"Media",IF(G10&lt;=5000,"Alta","Muy Alta")))))</f>
        <v>Media</v>
      </c>
      <c r="I10" s="217">
        <f>IF(H10="","",IF(H10="Muy Baja",0.2,IF(H10="Baja",0.4,IF(H10="Media",0.6,IF(H10="Alta",0.8,IF(H10="Muy Alta",1,))))))</f>
        <v>0.6</v>
      </c>
      <c r="J10" s="235" t="s">
        <v>167</v>
      </c>
      <c r="K10" s="217" t="str">
        <f>IF(NOT(ISERROR(MATCH(J10,'[7]Tabla Impacto'!$B$221:$B$223,0))),'[7]Tabla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3" t="str">
        <f>IF(OR(K10='[7]Tabla Impacto'!$C$11,K10='[7]Tabla Impacto'!$D$11),"Leve",IF(OR(K10='[7]Tabla Impacto'!$C$12,K10='[7]Tabla Impacto'!$D$12),"Menor",IF(OR(K10='[7]Tabla Impacto'!$C$13,K10='[7]Tabla Impacto'!$D$13),"Moderado",IF(OR(K10='[7]Tabla Impacto'!$C$14,K10='[7]Tabla Impacto'!$D$14),"Mayor",IF(OR(K10='[7]Tabla Impacto'!$C$15,K10='[7]Tabla Impacto'!$D$15),"Catastrófico","")))))</f>
        <v>Menor</v>
      </c>
      <c r="M10" s="217">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25" t="s">
        <v>378</v>
      </c>
      <c r="Q10" s="141" t="str">
        <f t="shared" ref="Q10:Q12" si="0">IF(OR(R10="Preventivo",R10="Detectivo"),"Probabilidad",IF(R10="Correctivo","Impacto",""))</f>
        <v>Probabilidad</v>
      </c>
      <c r="R10" s="142" t="s">
        <v>92</v>
      </c>
      <c r="S10" s="142" t="s">
        <v>93</v>
      </c>
      <c r="T10" s="143" t="str">
        <f t="shared" ref="T10:T12"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0.36</v>
      </c>
      <c r="Y10" s="145" t="str">
        <f>IFERROR(IF(X10="","",IF(X10&lt;=0.2,"Muy Baja",IF(X10&lt;=0.4,"Baja",IF(X10&lt;=0.6,"Media",IF(X10&lt;=0.8,"Alta","Muy Alta"))))),"")</f>
        <v>Baja</v>
      </c>
      <c r="Z10" s="146">
        <f t="shared" ref="Z10:Z12" si="2">+X10</f>
        <v>0.36</v>
      </c>
      <c r="AA10" s="145" t="str">
        <f>IFERROR(IF(AB10="","",IF(AB10&lt;=0.2,"Leve",IF(AB10&lt;=0.4,"Menor",IF(AB10&lt;=0.6,"Moderado",IF(AB10&lt;=0.8,"Mayor","Catastrófico"))))),"")</f>
        <v>Menor</v>
      </c>
      <c r="AB10" s="146">
        <f>IFERROR(IF(Q10="Impacto",(M10-(+M10*T10)),IF(Q10="Probabilidad",M10,"")),"")</f>
        <v>0.4</v>
      </c>
      <c r="AC10" s="147" t="str">
        <f t="shared" ref="AC10:AC12"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105</v>
      </c>
      <c r="AE10" s="154" t="s">
        <v>328</v>
      </c>
      <c r="AF10" s="149" t="s">
        <v>335</v>
      </c>
      <c r="AG10" s="149" t="s">
        <v>467</v>
      </c>
      <c r="AH10" s="149" t="s">
        <v>328</v>
      </c>
      <c r="AI10" s="150" t="s">
        <v>337</v>
      </c>
      <c r="AJ10" s="154" t="s">
        <v>328</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9"/>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25" t="s">
        <v>336</v>
      </c>
      <c r="Q11" s="141" t="str">
        <f t="shared" si="0"/>
        <v>Probabilidad</v>
      </c>
      <c r="R11" s="142" t="s">
        <v>98</v>
      </c>
      <c r="S11" s="142" t="s">
        <v>93</v>
      </c>
      <c r="T11" s="143" t="str">
        <f t="shared" si="1"/>
        <v>30%</v>
      </c>
      <c r="U11" s="142" t="s">
        <v>94</v>
      </c>
      <c r="V11" s="142" t="s">
        <v>100</v>
      </c>
      <c r="W11" s="142" t="s">
        <v>96</v>
      </c>
      <c r="X11" s="144">
        <f>IFERROR(IF(AND(Q10="Probabilidad",Q11="Probabilidad"),(Z10-(+Z10*T11)),IF(Q11="Probabilidad",(I10-(+I10*T11)),IF(Q11="Impacto",Z10,""))),"")</f>
        <v>0.252</v>
      </c>
      <c r="Y11" s="145" t="str">
        <f t="shared" ref="Y11:Y12" si="4">IFERROR(IF(X11="","",IF(X11&lt;=0.2,"Muy Baja",IF(X11&lt;=0.4,"Baja",IF(X11&lt;=0.6,"Media",IF(X11&lt;=0.8,"Alta","Muy Alta"))))),"")</f>
        <v>Baja</v>
      </c>
      <c r="Z11" s="146">
        <f t="shared" si="2"/>
        <v>0.252</v>
      </c>
      <c r="AA11" s="145" t="str">
        <f t="shared" ref="AA11:AA12" si="5">IFERROR(IF(AB11="","",IF(AB11&lt;=0.2,"Leve",IF(AB11&lt;=0.4,"Menor",IF(AB11&lt;=0.6,"Moderado",IF(AB11&lt;=0.8,"Mayor","Catastrófico"))))),"")</f>
        <v>Menor</v>
      </c>
      <c r="AB11" s="146">
        <f>IFERROR(IF(AND(Q10="Impacto",Q11="Impacto"),(AB10-(+AB10*T11)),IF(Q11="Impacto",($M$10-(+$M$10*T11)),IF(Q11="Probabilidad",AB10,""))),"")</f>
        <v>0.4</v>
      </c>
      <c r="AC11" s="147" t="str">
        <f t="shared" si="3"/>
        <v>Moderado</v>
      </c>
      <c r="AD11" s="148" t="s">
        <v>199</v>
      </c>
      <c r="AE11" s="125" t="s">
        <v>379</v>
      </c>
      <c r="AF11" s="149" t="s">
        <v>335</v>
      </c>
      <c r="AG11" s="150" t="s">
        <v>468</v>
      </c>
      <c r="AH11" s="149" t="s">
        <v>467</v>
      </c>
      <c r="AI11" s="149" t="s">
        <v>426</v>
      </c>
      <c r="AJ11" s="149" t="s">
        <v>338</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49"/>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3</v>
      </c>
      <c r="P12" s="125" t="s">
        <v>354</v>
      </c>
      <c r="Q12" s="141" t="str">
        <f t="shared" si="0"/>
        <v>Probabilidad</v>
      </c>
      <c r="R12" s="142" t="s">
        <v>92</v>
      </c>
      <c r="S12" s="142" t="s">
        <v>93</v>
      </c>
      <c r="T12" s="143" t="str">
        <f t="shared" si="1"/>
        <v>40%</v>
      </c>
      <c r="U12" s="142" t="s">
        <v>94</v>
      </c>
      <c r="V12" s="142" t="s">
        <v>95</v>
      </c>
      <c r="W12" s="142" t="s">
        <v>96</v>
      </c>
      <c r="X12" s="144">
        <f>IFERROR(IF(AND(Q11="Probabilidad",Q12="Probabilidad"),(Z11-(+Z11*T12)),IF(AND(Q11="Impacto",Q12="Probabilidad"),(Z10-(+Z10*T12)),IF(Q12="Impacto",Z11,""))),"")</f>
        <v>0.1512</v>
      </c>
      <c r="Y12" s="145" t="str">
        <f t="shared" si="4"/>
        <v>Muy Baja</v>
      </c>
      <c r="Z12" s="146">
        <f t="shared" si="2"/>
        <v>0.1512</v>
      </c>
      <c r="AA12" s="145" t="str">
        <f t="shared" si="5"/>
        <v>Menor</v>
      </c>
      <c r="AB12" s="146">
        <f>IFERROR(IF(AND(Q11="Impacto",Q12="Impacto"),(AB11-(+AB11*T12)),IF(AND(Q11="Probabilidad",Q12="Impacto"),(AB10-(+AB10*T12)),IF(Q12="Probabilidad",AB11,""))),"")</f>
        <v>0.4</v>
      </c>
      <c r="AC12" s="147" t="str">
        <f t="shared" si="3"/>
        <v>Bajo</v>
      </c>
      <c r="AD12" s="148" t="s">
        <v>105</v>
      </c>
      <c r="AE12" s="154" t="s">
        <v>328</v>
      </c>
      <c r="AF12" s="149" t="s">
        <v>335</v>
      </c>
      <c r="AG12" s="149" t="s">
        <v>469</v>
      </c>
      <c r="AH12" s="149" t="s">
        <v>328</v>
      </c>
      <c r="AI12" s="149" t="s">
        <v>381</v>
      </c>
      <c r="AJ12" s="154" t="s">
        <v>328</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49.5" customHeight="1" x14ac:dyDescent="0.3">
      <c r="A13" s="6"/>
      <c r="B13" s="245" t="s">
        <v>111</v>
      </c>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5" spans="1:68" x14ac:dyDescent="0.3">
      <c r="A15" s="1"/>
      <c r="B15" s="25" t="s">
        <v>112</v>
      </c>
      <c r="C15" s="1"/>
      <c r="D15" s="1"/>
      <c r="F15" s="1"/>
    </row>
  </sheetData>
  <dataConsolidate/>
  <mergeCells count="59">
    <mergeCell ref="B13:AJ13"/>
    <mergeCell ref="M10:M12"/>
    <mergeCell ref="N10:N12"/>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cfRule type="cellIs" dxfId="295" priority="227" operator="equal">
      <formula>"Muy Alta"</formula>
    </cfRule>
    <cfRule type="cellIs" dxfId="294" priority="228" operator="equal">
      <formula>"Alta"</formula>
    </cfRule>
    <cfRule type="cellIs" dxfId="293" priority="229" operator="equal">
      <formula>"Media"</formula>
    </cfRule>
    <cfRule type="cellIs" dxfId="292" priority="230" operator="equal">
      <formula>"Baja"</formula>
    </cfRule>
    <cfRule type="cellIs" dxfId="291" priority="231" operator="equal">
      <formula>"Muy Baja"</formula>
    </cfRule>
  </conditionalFormatting>
  <conditionalFormatting sqref="L10">
    <cfRule type="cellIs" dxfId="290" priority="222" operator="equal">
      <formula>"Catastrófico"</formula>
    </cfRule>
    <cfRule type="cellIs" dxfId="289" priority="223" operator="equal">
      <formula>"Mayor"</formula>
    </cfRule>
    <cfRule type="cellIs" dxfId="288" priority="224" operator="equal">
      <formula>"Moderado"</formula>
    </cfRule>
    <cfRule type="cellIs" dxfId="287" priority="225" operator="equal">
      <formula>"Menor"</formula>
    </cfRule>
    <cfRule type="cellIs" dxfId="286" priority="226" operator="equal">
      <formula>"Leve"</formula>
    </cfRule>
  </conditionalFormatting>
  <conditionalFormatting sqref="N10">
    <cfRule type="cellIs" dxfId="285" priority="218" operator="equal">
      <formula>"Extremo"</formula>
    </cfRule>
    <cfRule type="cellIs" dxfId="284" priority="219" operator="equal">
      <formula>"Alto"</formula>
    </cfRule>
    <cfRule type="cellIs" dxfId="283" priority="220" operator="equal">
      <formula>"Moderado"</formula>
    </cfRule>
    <cfRule type="cellIs" dxfId="282" priority="221" operator="equal">
      <formula>"Bajo"</formula>
    </cfRule>
  </conditionalFormatting>
  <conditionalFormatting sqref="Y10:Y12">
    <cfRule type="cellIs" dxfId="281" priority="213" operator="equal">
      <formula>"Muy Alta"</formula>
    </cfRule>
    <cfRule type="cellIs" dxfId="280" priority="214" operator="equal">
      <formula>"Alta"</formula>
    </cfRule>
    <cfRule type="cellIs" dxfId="279" priority="215" operator="equal">
      <formula>"Media"</formula>
    </cfRule>
    <cfRule type="cellIs" dxfId="278" priority="216" operator="equal">
      <formula>"Baja"</formula>
    </cfRule>
    <cfRule type="cellIs" dxfId="277" priority="217" operator="equal">
      <formula>"Muy Baja"</formula>
    </cfRule>
  </conditionalFormatting>
  <conditionalFormatting sqref="AA10:AA12">
    <cfRule type="cellIs" dxfId="276" priority="208" operator="equal">
      <formula>"Catastrófico"</formula>
    </cfRule>
    <cfRule type="cellIs" dxfId="275" priority="209" operator="equal">
      <formula>"Mayor"</formula>
    </cfRule>
    <cfRule type="cellIs" dxfId="274" priority="210" operator="equal">
      <formula>"Moderado"</formula>
    </cfRule>
    <cfRule type="cellIs" dxfId="273" priority="211" operator="equal">
      <formula>"Menor"</formula>
    </cfRule>
    <cfRule type="cellIs" dxfId="272" priority="212" operator="equal">
      <formula>"Leve"</formula>
    </cfRule>
  </conditionalFormatting>
  <conditionalFormatting sqref="AC10:AC12">
    <cfRule type="cellIs" dxfId="271" priority="204" operator="equal">
      <formula>"Extremo"</formula>
    </cfRule>
    <cfRule type="cellIs" dxfId="270" priority="205" operator="equal">
      <formula>"Alto"</formula>
    </cfRule>
    <cfRule type="cellIs" dxfId="269" priority="206" operator="equal">
      <formula>"Moderado"</formula>
    </cfRule>
    <cfRule type="cellIs" dxfId="268" priority="207" operator="equal">
      <formula>"Bajo"</formula>
    </cfRule>
  </conditionalFormatting>
  <conditionalFormatting sqref="K10:K12">
    <cfRule type="containsText" dxfId="267" priority="1" operator="containsText" text="❌">
      <formula>NOT(ISERROR(SEARCH("❌",K10)))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2060"/>
  </sheetPr>
  <dimension ref="A1:BP16"/>
  <sheetViews>
    <sheetView zoomScale="70" zoomScaleNormal="70" workbookViewId="0">
      <pane xSplit="16" ySplit="2" topLeftCell="Q3" activePane="bottomRight" state="frozen"/>
      <selection pane="topRight" activeCell="Q1" sqref="Q1"/>
      <selection pane="bottomLeft" activeCell="A3" sqref="A3"/>
      <selection pane="bottomRight" sqref="A1:AJ2"/>
    </sheetView>
  </sheetViews>
  <sheetFormatPr baseColWidth="10" defaultColWidth="11.42578125" defaultRowHeight="16.5" x14ac:dyDescent="0.3"/>
  <cols>
    <col min="1" max="1" width="4.140625"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customWidth="1"/>
    <col min="10" max="10" width="27.140625" style="1" customWidth="1"/>
    <col min="11" max="11" width="30.5703125" style="1" customWidth="1"/>
    <col min="12" max="12" width="17.5703125" style="1" customWidth="1"/>
    <col min="13" max="13" width="7.140625" style="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51"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297</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54.75" customHeight="1" x14ac:dyDescent="0.3">
      <c r="A5" s="182" t="s">
        <v>62</v>
      </c>
      <c r="B5" s="183"/>
      <c r="C5" s="184" t="s">
        <v>480</v>
      </c>
      <c r="D5" s="197"/>
      <c r="E5" s="197"/>
      <c r="F5" s="197"/>
      <c r="G5" s="197"/>
      <c r="H5" s="197"/>
      <c r="I5" s="197"/>
      <c r="J5" s="197"/>
      <c r="K5" s="197"/>
      <c r="L5" s="197"/>
      <c r="M5" s="197"/>
      <c r="N5" s="19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2" t="s">
        <v>63</v>
      </c>
      <c r="B6" s="183"/>
      <c r="C6" s="184" t="s">
        <v>298</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7" t="s">
        <v>64</v>
      </c>
      <c r="B7" s="188"/>
      <c r="C7" s="188"/>
      <c r="D7" s="188"/>
      <c r="E7" s="188"/>
      <c r="F7" s="188"/>
      <c r="G7" s="189"/>
      <c r="H7" s="187" t="s">
        <v>65</v>
      </c>
      <c r="I7" s="188"/>
      <c r="J7" s="188"/>
      <c r="K7" s="188"/>
      <c r="L7" s="188"/>
      <c r="M7" s="188"/>
      <c r="N7" s="189"/>
      <c r="O7" s="187" t="s">
        <v>66</v>
      </c>
      <c r="P7" s="188"/>
      <c r="Q7" s="188"/>
      <c r="R7" s="188"/>
      <c r="S7" s="188"/>
      <c r="T7" s="188"/>
      <c r="U7" s="188"/>
      <c r="V7" s="188"/>
      <c r="W7" s="189"/>
      <c r="X7" s="187" t="s">
        <v>67</v>
      </c>
      <c r="Y7" s="188"/>
      <c r="Z7" s="188"/>
      <c r="AA7" s="188"/>
      <c r="AB7" s="188"/>
      <c r="AC7" s="188"/>
      <c r="AD7" s="189"/>
      <c r="AE7" s="187" t="s">
        <v>68</v>
      </c>
      <c r="AF7" s="188"/>
      <c r="AG7" s="188"/>
      <c r="AH7" s="188"/>
      <c r="AI7" s="188"/>
      <c r="AJ7" s="18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8"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9"/>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26.75" customHeight="1" x14ac:dyDescent="0.25">
      <c r="A10" s="181">
        <v>1</v>
      </c>
      <c r="B10" s="179" t="s">
        <v>89</v>
      </c>
      <c r="C10" s="179" t="s">
        <v>299</v>
      </c>
      <c r="D10" s="179" t="s">
        <v>300</v>
      </c>
      <c r="E10" s="180" t="s">
        <v>301</v>
      </c>
      <c r="F10" s="179" t="s">
        <v>103</v>
      </c>
      <c r="G10" s="176">
        <v>260</v>
      </c>
      <c r="H10" s="177" t="str">
        <f>IF(G10&lt;=0,"",IF(G10&lt;=2,"Muy Baja",IF(G10&lt;=24,"Baja",IF(G10&lt;=500,"Media",IF(G10&lt;=5000,"Alta","Muy Alta")))))</f>
        <v>Media</v>
      </c>
      <c r="I10" s="174">
        <f>IF(H10="","",IF(H10="Muy Baja",0.2,IF(H10="Baja",0.4,IF(H10="Media",0.6,IF(H10="Alta",0.8,IF(H10="Muy Alta",1,))))))</f>
        <v>0.6</v>
      </c>
      <c r="J10" s="178" t="s">
        <v>101</v>
      </c>
      <c r="K10" s="174" t="str">
        <f>IF(NOT(ISERROR(MATCH(J10,'[8]Tabla Impacto'!$B$221:$B$223,0))),'[8]Tabla Impacto'!$F$223&amp;"Por favor no seleccionar los criterios de impacto(Afectación Económica o presupuestal y Pérdida Reputacional)",J10)</f>
        <v xml:space="preserve">     El riesgo afecta la imagen de la entidad a nivel nacional, con efecto publicitarios sostenible a nivel país</v>
      </c>
      <c r="L10" s="177" t="str">
        <f>IF(OR(K10='[8]Tabla Impacto'!$C$11,K10='[8]Tabla Impacto'!$D$11),"Leve",IF(OR(K10='[8]Tabla Impacto'!$C$12,K10='[8]Tabla Impacto'!$D$12),"Menor",IF(OR(K10='[8]Tabla Impacto'!$C$13,K10='[8]Tabla Impacto'!$D$13),"Moderado",IF(OR(K10='[8]Tabla Impacto'!$C$14,K10='[8]Tabla Impacto'!$D$14),"Mayor",IF(OR(K10='[8]Tabla Impacto'!$C$15,K10='[8]Tabla Impacto'!$D$15),"Catastrófico","")))))</f>
        <v>Catastrófico</v>
      </c>
      <c r="M10" s="174">
        <f>IF(L10="","",IF(L10="Leve",0.2,IF(L10="Menor",0.4,IF(L10="Moderado",0.6,IF(L10="Mayor",0.8,IF(L10="Catastrófico",1,))))))</f>
        <v>1</v>
      </c>
      <c r="N10" s="17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Extremo</v>
      </c>
      <c r="O10" s="153">
        <v>1</v>
      </c>
      <c r="P10" s="155" t="s">
        <v>481</v>
      </c>
      <c r="Q10" s="141" t="str">
        <f t="shared" ref="Q10:Q13" si="0">IF(OR(R10="Preventivo",R10="Detectivo"),"Probabilidad",IF(R10="Correctivo","Impacto",""))</f>
        <v>Probabilidad</v>
      </c>
      <c r="R10" s="142" t="s">
        <v>92</v>
      </c>
      <c r="S10" s="142" t="s">
        <v>106</v>
      </c>
      <c r="T10" s="143" t="str">
        <f t="shared" ref="T10:T13" si="1">IF(AND(R10="Preventivo",S10="Automático"),"50%",IF(AND(R10="Preventivo",S10="Manual"),"40%",IF(AND(R10="Detectivo",S10="Automático"),"40%",IF(AND(R10="Detectivo",S10="Manual"),"30%",IF(AND(R10="Correctivo",S10="Automático"),"35%",IF(AND(R10="Correctivo",S10="Manual"),"25%",""))))))</f>
        <v>50%</v>
      </c>
      <c r="U10" s="142" t="s">
        <v>94</v>
      </c>
      <c r="V10" s="142" t="s">
        <v>100</v>
      </c>
      <c r="W10" s="142" t="s">
        <v>96</v>
      </c>
      <c r="X10" s="144">
        <f>IFERROR(IF(Q10="Probabilidad",(I10-(+I10*T10)),IF(Q10="Impacto",I10,"")),"")</f>
        <v>0.3</v>
      </c>
      <c r="Y10" s="145" t="str">
        <f>IFERROR(IF(X10="","",IF(X10&lt;=0.2,"Muy Baja",IF(X10&lt;=0.4,"Baja",IF(X10&lt;=0.6,"Media",IF(X10&lt;=0.8,"Alta","Muy Alta"))))),"")</f>
        <v>Baja</v>
      </c>
      <c r="Z10" s="146">
        <f t="shared" ref="Z10:Z13" si="2">+X10</f>
        <v>0.3</v>
      </c>
      <c r="AA10" s="145" t="str">
        <f>IFERROR(IF(AB10="","",IF(AB10&lt;=0.2,"Leve",IF(AB10&lt;=0.4,"Menor",IF(AB10&lt;=0.6,"Moderado",IF(AB10&lt;=0.8,"Mayor","Catastrófico"))))),"")</f>
        <v>Catastrófico</v>
      </c>
      <c r="AB10" s="146">
        <f>IFERROR(IF(Q10="Impacto",(M10-(+M10*T10)),IF(Q10="Probabilidad",M10,"")),"")</f>
        <v>1</v>
      </c>
      <c r="AC10" s="147" t="str">
        <f t="shared" ref="AC10:AC13"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Extremo</v>
      </c>
      <c r="AD10" s="148" t="s">
        <v>97</v>
      </c>
      <c r="AE10" s="149" t="s">
        <v>424</v>
      </c>
      <c r="AF10" s="149" t="s">
        <v>369</v>
      </c>
      <c r="AG10" s="149" t="s">
        <v>470</v>
      </c>
      <c r="AH10" s="149" t="s">
        <v>470</v>
      </c>
      <c r="AI10" s="150" t="s">
        <v>423</v>
      </c>
      <c r="AJ10" s="149" t="s">
        <v>425</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48">
        <v>2</v>
      </c>
      <c r="B11" s="237" t="s">
        <v>89</v>
      </c>
      <c r="C11" s="237" t="s">
        <v>356</v>
      </c>
      <c r="D11" s="237" t="s">
        <v>357</v>
      </c>
      <c r="E11" s="239" t="s">
        <v>302</v>
      </c>
      <c r="F11" s="237" t="s">
        <v>103</v>
      </c>
      <c r="G11" s="231">
        <f>12*4</f>
        <v>48</v>
      </c>
      <c r="H11" s="233" t="str">
        <f>IF(G11&lt;=0,"",IF(G11&lt;=2,"Muy Baja",IF(G11&lt;=24,"Baja",IF(G11&lt;=500,"Media",IF(G11&lt;=5000,"Alta","Muy Alta")))))</f>
        <v>Media</v>
      </c>
      <c r="I11" s="217">
        <f>IF(H11="","",IF(H11="Muy Baja",0.2,IF(H11="Baja",0.4,IF(H11="Media",0.6,IF(H11="Alta",0.8,IF(H11="Muy Alta",1,))))))</f>
        <v>0.6</v>
      </c>
      <c r="J11" s="235" t="s">
        <v>91</v>
      </c>
      <c r="K11" s="217" t="str">
        <f>IF(NOT(ISERROR(MATCH(J11,'[8]Tabla Impacto'!$B$221:$B$223,0))),'[8]Tabla Impacto'!$F$223&amp;"Por favor no seleccionar los criterios de impacto(Afectación Económica o presupuestal y Pérdida Reputacional)",J11)</f>
        <v xml:space="preserve">     El riesgo afecta la imagen de la entidad con algunos usuarios de relevancia frente al logro de los objetivos</v>
      </c>
      <c r="L11" s="233" t="str">
        <f>IF(OR(K11='[8]Tabla Impacto'!$C$11,K11='[8]Tabla Impacto'!$D$11),"Leve",IF(OR(K11='[8]Tabla Impacto'!$C$12,K11='[8]Tabla Impacto'!$D$12),"Menor",IF(OR(K11='[8]Tabla Impacto'!$C$13,K11='[8]Tabla Impacto'!$D$13),"Moderado",IF(OR(K11='[8]Tabla Impacto'!$C$14,K11='[8]Tabla Impacto'!$D$14),"Mayor",IF(OR(K11='[8]Tabla Impacto'!$C$15,K11='[8]Tabla Impacto'!$D$15),"Catastrófico","")))))</f>
        <v>Moderado</v>
      </c>
      <c r="M11" s="217">
        <f>IF(L11="","",IF(L11="Leve",0.2,IF(L11="Menor",0.4,IF(L11="Moderado",0.6,IF(L11="Mayor",0.8,IF(L11="Catastrófico",1,))))))</f>
        <v>0.6</v>
      </c>
      <c r="N11" s="219"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Moderado</v>
      </c>
      <c r="O11" s="153">
        <v>1</v>
      </c>
      <c r="P11" s="140" t="s">
        <v>419</v>
      </c>
      <c r="Q11" s="141" t="str">
        <f t="shared" si="0"/>
        <v>Probabilidad</v>
      </c>
      <c r="R11" s="142" t="s">
        <v>98</v>
      </c>
      <c r="S11" s="142" t="s">
        <v>93</v>
      </c>
      <c r="T11" s="143" t="str">
        <f t="shared" si="1"/>
        <v>30%</v>
      </c>
      <c r="U11" s="142" t="s">
        <v>94</v>
      </c>
      <c r="V11" s="142" t="s">
        <v>95</v>
      </c>
      <c r="W11" s="142" t="s">
        <v>96</v>
      </c>
      <c r="X11" s="144">
        <f>IFERROR(IF(Q11="Probabilidad",(I11-(+I11*T11)),IF(Q11="Impacto",I11,"")),"")</f>
        <v>0.42</v>
      </c>
      <c r="Y11" s="145" t="str">
        <f>IFERROR(IF(X11="","",IF(X11&lt;=0.2,"Muy Baja",IF(X11&lt;=0.4,"Baja",IF(X11&lt;=0.6,"Media",IF(X11&lt;=0.8,"Alta","Muy Alta"))))),"")</f>
        <v>Media</v>
      </c>
      <c r="Z11" s="146">
        <f t="shared" si="2"/>
        <v>0.42</v>
      </c>
      <c r="AA11" s="145" t="str">
        <f>IFERROR(IF(AB11="","",IF(AB11&lt;=0.2,"Leve",IF(AB11&lt;=0.4,"Menor",IF(AB11&lt;=0.6,"Moderado",IF(AB11&lt;=0.8,"Mayor","Catastrófico"))))),"")</f>
        <v>Moderado</v>
      </c>
      <c r="AB11" s="146">
        <f>IFERROR(IF(Q11="Impacto",(M11-(+M11*T11)),IF(Q11="Probabilidad",M11,"")),"")</f>
        <v>0.6</v>
      </c>
      <c r="AC11" s="147" t="str">
        <f t="shared" si="3"/>
        <v>Moderado</v>
      </c>
      <c r="AD11" s="148" t="s">
        <v>97</v>
      </c>
      <c r="AE11" s="149" t="s">
        <v>328</v>
      </c>
      <c r="AF11" s="149" t="s">
        <v>339</v>
      </c>
      <c r="AG11" s="149" t="s">
        <v>470</v>
      </c>
      <c r="AH11" s="151" t="s">
        <v>328</v>
      </c>
      <c r="AI11" s="149" t="s">
        <v>340</v>
      </c>
      <c r="AJ11" s="154"/>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49"/>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2</v>
      </c>
      <c r="P12" s="155" t="s">
        <v>420</v>
      </c>
      <c r="Q12" s="141" t="str">
        <f t="shared" si="0"/>
        <v>Probabilidad</v>
      </c>
      <c r="R12" s="142" t="s">
        <v>92</v>
      </c>
      <c r="S12" s="142" t="s">
        <v>106</v>
      </c>
      <c r="T12" s="143" t="str">
        <f t="shared" si="1"/>
        <v>50%</v>
      </c>
      <c r="U12" s="142" t="s">
        <v>94</v>
      </c>
      <c r="V12" s="142" t="s">
        <v>95</v>
      </c>
      <c r="W12" s="142" t="s">
        <v>96</v>
      </c>
      <c r="X12" s="144">
        <f>IFERROR(IF(AND(Q11="Probabilidad",Q12="Probabilidad"),(Z11-(+Z11*T12)),IF(Q12="Probabilidad",(I11-(+I11*T12)),IF(Q12="Impacto",Z11,""))),"")</f>
        <v>0.21</v>
      </c>
      <c r="Y12" s="145" t="str">
        <f t="shared" ref="Y12:Y13" si="4">IFERROR(IF(X12="","",IF(X12&lt;=0.2,"Muy Baja",IF(X12&lt;=0.4,"Baja",IF(X12&lt;=0.6,"Media",IF(X12&lt;=0.8,"Alta","Muy Alta"))))),"")</f>
        <v>Baja</v>
      </c>
      <c r="Z12" s="146">
        <f t="shared" si="2"/>
        <v>0.21</v>
      </c>
      <c r="AA12" s="145" t="str">
        <f t="shared" ref="AA12:AA13" si="5">IFERROR(IF(AB12="","",IF(AB12&lt;=0.2,"Leve",IF(AB12&lt;=0.4,"Menor",IF(AB12&lt;=0.6,"Moderado",IF(AB12&lt;=0.8,"Mayor","Catastrófico"))))),"")</f>
        <v>Catastrófico</v>
      </c>
      <c r="AB12" s="146">
        <f>IFERROR(IF(AND(Q11="Impacto",Q12="Impacto"),(AB10-(+AB10*T12)),IF(Q12="Impacto",($M$11-(+$M$11*T12)),IF(Q12="Probabilidad",AB10,""))),"")</f>
        <v>1</v>
      </c>
      <c r="AC12" s="147" t="str">
        <f t="shared" si="3"/>
        <v>Extremo</v>
      </c>
      <c r="AD12" s="148" t="s">
        <v>97</v>
      </c>
      <c r="AE12" s="149" t="s">
        <v>417</v>
      </c>
      <c r="AF12" s="149" t="s">
        <v>339</v>
      </c>
      <c r="AG12" s="149" t="s">
        <v>470</v>
      </c>
      <c r="AH12" s="149" t="s">
        <v>470</v>
      </c>
      <c r="AI12" s="149" t="s">
        <v>421</v>
      </c>
      <c r="AJ12" s="149" t="s">
        <v>418</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49"/>
      <c r="B13" s="238"/>
      <c r="C13" s="238"/>
      <c r="D13" s="238"/>
      <c r="E13" s="240"/>
      <c r="F13" s="238"/>
      <c r="G13" s="232"/>
      <c r="H13" s="234"/>
      <c r="I13" s="218"/>
      <c r="J13" s="236"/>
      <c r="K13" s="218">
        <f ca="1">IF(NOT(ISERROR(MATCH(J13,_xlfn.ANCHORARRAY(#REF!),0))),#REF!&amp;"Por favor no seleccionar los criterios de impacto",J13)</f>
        <v>0</v>
      </c>
      <c r="L13" s="234"/>
      <c r="M13" s="218"/>
      <c r="N13" s="220"/>
      <c r="O13" s="153">
        <v>3</v>
      </c>
      <c r="P13" s="155" t="s">
        <v>422</v>
      </c>
      <c r="Q13" s="141" t="str">
        <f t="shared" si="0"/>
        <v>Probabilidad</v>
      </c>
      <c r="R13" s="142" t="s">
        <v>92</v>
      </c>
      <c r="S13" s="142" t="s">
        <v>93</v>
      </c>
      <c r="T13" s="143" t="str">
        <f t="shared" si="1"/>
        <v>40%</v>
      </c>
      <c r="U13" s="142" t="s">
        <v>94</v>
      </c>
      <c r="V13" s="142" t="s">
        <v>95</v>
      </c>
      <c r="W13" s="142" t="s">
        <v>96</v>
      </c>
      <c r="X13" s="144">
        <f>IFERROR(IF(AND(Q12="Probabilidad",Q13="Probabilidad"),(Z12-(+Z12*T13)),IF(AND(Q12="Impacto",Q13="Probabilidad"),(Z11-(+Z11*T13)),IF(Q13="Impacto",Z12,""))),"")</f>
        <v>0.126</v>
      </c>
      <c r="Y13" s="145" t="str">
        <f t="shared" si="4"/>
        <v>Muy Baja</v>
      </c>
      <c r="Z13" s="146">
        <f t="shared" si="2"/>
        <v>0.126</v>
      </c>
      <c r="AA13" s="145" t="str">
        <f t="shared" si="5"/>
        <v>Catastrófico</v>
      </c>
      <c r="AB13" s="146">
        <f>IFERROR(IF(AND(Q12="Impacto",Q13="Impacto"),(AB12-(+AB12*T13)),IF(AND(Q12="Probabilidad",Q13="Impacto"),(AB11-(+AB11*T13)),IF(Q13="Probabilidad",AB12,""))),"")</f>
        <v>1</v>
      </c>
      <c r="AC13" s="147" t="str">
        <f t="shared" si="3"/>
        <v>Extremo</v>
      </c>
      <c r="AD13" s="148" t="s">
        <v>97</v>
      </c>
      <c r="AE13" s="149" t="s">
        <v>328</v>
      </c>
      <c r="AF13" s="149" t="s">
        <v>339</v>
      </c>
      <c r="AG13" s="149" t="s">
        <v>471</v>
      </c>
      <c r="AH13" s="151" t="s">
        <v>328</v>
      </c>
      <c r="AI13" s="149" t="s">
        <v>382</v>
      </c>
      <c r="AJ13" s="15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49.5" customHeight="1" x14ac:dyDescent="0.3">
      <c r="A14" s="6"/>
      <c r="B14" s="245" t="s">
        <v>111</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7"/>
    </row>
    <row r="16" spans="1:68" x14ac:dyDescent="0.3">
      <c r="A16" s="1"/>
      <c r="B16" s="25" t="s">
        <v>112</v>
      </c>
      <c r="C16" s="1"/>
      <c r="D16" s="1"/>
      <c r="F16" s="1"/>
    </row>
  </sheetData>
  <dataConsolidate/>
  <mergeCells count="59">
    <mergeCell ref="B14:AJ14"/>
    <mergeCell ref="I11:I13"/>
    <mergeCell ref="J11:J13"/>
    <mergeCell ref="K11:K13"/>
    <mergeCell ref="L11:L13"/>
    <mergeCell ref="M11:M13"/>
    <mergeCell ref="A11:A13"/>
    <mergeCell ref="B11:B13"/>
    <mergeCell ref="C11:C13"/>
    <mergeCell ref="D11:D13"/>
    <mergeCell ref="E11:E13"/>
    <mergeCell ref="F11:F13"/>
    <mergeCell ref="G11:G13"/>
    <mergeCell ref="H11:H13"/>
    <mergeCell ref="AB8:AB9"/>
    <mergeCell ref="AC8:AC9"/>
    <mergeCell ref="P8:P9"/>
    <mergeCell ref="Q8:Q9"/>
    <mergeCell ref="R8:W8"/>
    <mergeCell ref="X8:X9"/>
    <mergeCell ref="Y8:Y9"/>
    <mergeCell ref="Z8:Z9"/>
    <mergeCell ref="N11:N13"/>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H11 Y10">
    <cfRule type="cellIs" dxfId="266" priority="227" operator="equal">
      <formula>"Muy Alta"</formula>
    </cfRule>
    <cfRule type="cellIs" dxfId="265" priority="228" operator="equal">
      <formula>"Alta"</formula>
    </cfRule>
    <cfRule type="cellIs" dxfId="264" priority="229" operator="equal">
      <formula>"Media"</formula>
    </cfRule>
    <cfRule type="cellIs" dxfId="263" priority="230" operator="equal">
      <formula>"Baja"</formula>
    </cfRule>
    <cfRule type="cellIs" dxfId="262" priority="231" operator="equal">
      <formula>"Muy Baja"</formula>
    </cfRule>
  </conditionalFormatting>
  <conditionalFormatting sqref="L10:L11 AA10">
    <cfRule type="cellIs" dxfId="261" priority="222" operator="equal">
      <formula>"Catastrófico"</formula>
    </cfRule>
    <cfRule type="cellIs" dxfId="260" priority="223" operator="equal">
      <formula>"Mayor"</formula>
    </cfRule>
    <cfRule type="cellIs" dxfId="259" priority="224" operator="equal">
      <formula>"Moderado"</formula>
    </cfRule>
    <cfRule type="cellIs" dxfId="258" priority="225" operator="equal">
      <formula>"Menor"</formula>
    </cfRule>
    <cfRule type="cellIs" dxfId="257" priority="226" operator="equal">
      <formula>"Leve"</formula>
    </cfRule>
  </conditionalFormatting>
  <conditionalFormatting sqref="N10 AC10">
    <cfRule type="cellIs" dxfId="256" priority="218" operator="equal">
      <formula>"Extremo"</formula>
    </cfRule>
    <cfRule type="cellIs" dxfId="255" priority="219" operator="equal">
      <formula>"Alto"</formula>
    </cfRule>
    <cfRule type="cellIs" dxfId="254" priority="220" operator="equal">
      <formula>"Moderado"</formula>
    </cfRule>
    <cfRule type="cellIs" dxfId="253" priority="221" operator="equal">
      <formula>"Bajo"</formula>
    </cfRule>
  </conditionalFormatting>
  <conditionalFormatting sqref="N11">
    <cfRule type="cellIs" dxfId="252" priority="200" operator="equal">
      <formula>"Extremo"</formula>
    </cfRule>
    <cfRule type="cellIs" dxfId="251" priority="201" operator="equal">
      <formula>"Alto"</formula>
    </cfRule>
    <cfRule type="cellIs" dxfId="250" priority="202" operator="equal">
      <formula>"Moderado"</formula>
    </cfRule>
    <cfRule type="cellIs" dxfId="249" priority="203" operator="equal">
      <formula>"Bajo"</formula>
    </cfRule>
  </conditionalFormatting>
  <conditionalFormatting sqref="Y11:Y13">
    <cfRule type="cellIs" dxfId="248" priority="195" operator="equal">
      <formula>"Muy Alta"</formula>
    </cfRule>
    <cfRule type="cellIs" dxfId="247" priority="196" operator="equal">
      <formula>"Alta"</formula>
    </cfRule>
    <cfRule type="cellIs" dxfId="246" priority="197" operator="equal">
      <formula>"Media"</formula>
    </cfRule>
    <cfRule type="cellIs" dxfId="245" priority="198" operator="equal">
      <formula>"Baja"</formula>
    </cfRule>
    <cfRule type="cellIs" dxfId="244" priority="199" operator="equal">
      <formula>"Muy Baja"</formula>
    </cfRule>
  </conditionalFormatting>
  <conditionalFormatting sqref="AA11:AA13">
    <cfRule type="cellIs" dxfId="243" priority="190" operator="equal">
      <formula>"Catastrófico"</formula>
    </cfRule>
    <cfRule type="cellIs" dxfId="242" priority="191" operator="equal">
      <formula>"Mayor"</formula>
    </cfRule>
    <cfRule type="cellIs" dxfId="241" priority="192" operator="equal">
      <formula>"Moderado"</formula>
    </cfRule>
    <cfRule type="cellIs" dxfId="240" priority="193" operator="equal">
      <formula>"Menor"</formula>
    </cfRule>
    <cfRule type="cellIs" dxfId="239" priority="194" operator="equal">
      <formula>"Leve"</formula>
    </cfRule>
  </conditionalFormatting>
  <conditionalFormatting sqref="AC11:AC13">
    <cfRule type="cellIs" dxfId="238" priority="186" operator="equal">
      <formula>"Extremo"</formula>
    </cfRule>
    <cfRule type="cellIs" dxfId="237" priority="187" operator="equal">
      <formula>"Alto"</formula>
    </cfRule>
    <cfRule type="cellIs" dxfId="236" priority="188" operator="equal">
      <formula>"Moderado"</formula>
    </cfRule>
    <cfRule type="cellIs" dxfId="235" priority="189" operator="equal">
      <formula>"Bajo"</formula>
    </cfRule>
  </conditionalFormatting>
  <conditionalFormatting sqref="K10:K13">
    <cfRule type="containsText" dxfId="234" priority="1" operator="containsText" text="❌">
      <formula>NOT(ISERROR(SEARCH("❌",K10)))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002060"/>
  </sheetPr>
  <dimension ref="A1:BP16"/>
  <sheetViews>
    <sheetView zoomScale="60" zoomScaleNormal="60" workbookViewId="0">
      <pane xSplit="16" ySplit="2" topLeftCell="Q3" activePane="bottomRight" state="frozen"/>
      <selection pane="topRight" activeCell="Q1" sqref="Q1"/>
      <selection pane="bottomLeft" activeCell="A3" sqref="A3"/>
      <selection pane="bottomRight" activeCell="E8" sqref="E8:E9"/>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140625" style="1" bestFit="1" customWidth="1"/>
    <col min="10" max="10" width="27.140625" style="1" bestFit="1" customWidth="1"/>
    <col min="11" max="11" width="30.5703125" style="1" customWidth="1"/>
    <col min="12" max="12" width="17.5703125" style="1" customWidth="1"/>
    <col min="13" max="13" width="6.140625" style="1" bestFit="1" customWidth="1"/>
    <col min="14" max="14" width="16" style="1" customWidth="1"/>
    <col min="15" max="15" width="5.85546875" style="1" customWidth="1"/>
    <col min="16" max="16" width="64.8554687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85546875" style="1" customWidth="1"/>
    <col min="23" max="23" width="7.5703125" style="1" customWidth="1"/>
    <col min="24" max="24" width="38.140625" style="1" customWidth="1"/>
    <col min="25" max="25" width="8.85546875" style="1" customWidth="1"/>
    <col min="26" max="26" width="10.42578125" style="1" customWidth="1"/>
    <col min="27" max="28" width="9.140625" style="1" customWidth="1"/>
    <col min="29" max="29" width="8.42578125" style="1" customWidth="1"/>
    <col min="30" max="30" width="7.140625" style="1" customWidth="1"/>
    <col min="31" max="31" width="23" style="1" customWidth="1"/>
    <col min="32" max="32" width="18.85546875" style="1" customWidth="1"/>
    <col min="33" max="33" width="16.85546875" style="1" customWidth="1"/>
    <col min="34" max="34" width="14.85546875" style="1" customWidth="1"/>
    <col min="35" max="35" width="34.28515625" style="1" customWidth="1"/>
    <col min="36" max="36" width="21" style="1" customWidth="1"/>
    <col min="37" max="16384" width="11.42578125" style="1"/>
  </cols>
  <sheetData>
    <row r="1" spans="1:68" ht="16.5" customHeight="1" x14ac:dyDescent="0.3">
      <c r="A1" s="190" t="s">
        <v>60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182" t="s">
        <v>61</v>
      </c>
      <c r="B4" s="183"/>
      <c r="C4" s="196" t="s">
        <v>281</v>
      </c>
      <c r="D4" s="197"/>
      <c r="E4" s="197"/>
      <c r="F4" s="197"/>
      <c r="G4" s="197"/>
      <c r="H4" s="197"/>
      <c r="I4" s="197"/>
      <c r="J4" s="197"/>
      <c r="K4" s="197"/>
      <c r="L4" s="197"/>
      <c r="M4" s="197"/>
      <c r="N4" s="198"/>
      <c r="O4" s="199"/>
      <c r="P4" s="199"/>
      <c r="Q4" s="19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9" customHeight="1" x14ac:dyDescent="0.3">
      <c r="A5" s="182" t="s">
        <v>62</v>
      </c>
      <c r="B5" s="183"/>
      <c r="C5" s="184" t="s">
        <v>282</v>
      </c>
      <c r="D5" s="185"/>
      <c r="E5" s="185"/>
      <c r="F5" s="185"/>
      <c r="G5" s="185"/>
      <c r="H5" s="185"/>
      <c r="I5" s="185"/>
      <c r="J5" s="185"/>
      <c r="K5" s="185"/>
      <c r="L5" s="185"/>
      <c r="M5" s="185"/>
      <c r="N5" s="186"/>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4.25" customHeight="1" x14ac:dyDescent="0.3">
      <c r="A6" s="182" t="s">
        <v>63</v>
      </c>
      <c r="B6" s="183"/>
      <c r="C6" s="184" t="s">
        <v>283</v>
      </c>
      <c r="D6" s="185"/>
      <c r="E6" s="185"/>
      <c r="F6" s="185"/>
      <c r="G6" s="185"/>
      <c r="H6" s="185"/>
      <c r="I6" s="185"/>
      <c r="J6" s="185"/>
      <c r="K6" s="185"/>
      <c r="L6" s="185"/>
      <c r="M6" s="185"/>
      <c r="N6" s="186"/>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0" t="s">
        <v>341</v>
      </c>
      <c r="B7" s="251"/>
      <c r="C7" s="251"/>
      <c r="D7" s="251"/>
      <c r="E7" s="251"/>
      <c r="F7" s="251"/>
      <c r="G7" s="252"/>
      <c r="H7" s="250" t="s">
        <v>65</v>
      </c>
      <c r="I7" s="251"/>
      <c r="J7" s="251"/>
      <c r="K7" s="251"/>
      <c r="L7" s="251"/>
      <c r="M7" s="251"/>
      <c r="N7" s="252"/>
      <c r="O7" s="250" t="s">
        <v>66</v>
      </c>
      <c r="P7" s="251"/>
      <c r="Q7" s="251"/>
      <c r="R7" s="251"/>
      <c r="S7" s="251"/>
      <c r="T7" s="251"/>
      <c r="U7" s="251"/>
      <c r="V7" s="251"/>
      <c r="W7" s="252"/>
      <c r="X7" s="250" t="s">
        <v>67</v>
      </c>
      <c r="Y7" s="251"/>
      <c r="Z7" s="251"/>
      <c r="AA7" s="251"/>
      <c r="AB7" s="251"/>
      <c r="AC7" s="251"/>
      <c r="AD7" s="252"/>
      <c r="AE7" s="250" t="s">
        <v>68</v>
      </c>
      <c r="AF7" s="251"/>
      <c r="AG7" s="251"/>
      <c r="AH7" s="251"/>
      <c r="AI7" s="251"/>
      <c r="AJ7" s="25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61" t="s">
        <v>69</v>
      </c>
      <c r="B8" s="210" t="s">
        <v>15</v>
      </c>
      <c r="C8" s="201" t="s">
        <v>17</v>
      </c>
      <c r="D8" s="201" t="s">
        <v>19</v>
      </c>
      <c r="E8" s="211" t="s">
        <v>21</v>
      </c>
      <c r="F8" s="200" t="s">
        <v>23</v>
      </c>
      <c r="G8" s="201" t="s">
        <v>70</v>
      </c>
      <c r="H8" s="212" t="s">
        <v>71</v>
      </c>
      <c r="I8" s="204" t="s">
        <v>72</v>
      </c>
      <c r="J8" s="200" t="s">
        <v>73</v>
      </c>
      <c r="K8" s="200" t="s">
        <v>74</v>
      </c>
      <c r="L8" s="202" t="s">
        <v>75</v>
      </c>
      <c r="M8" s="204" t="s">
        <v>72</v>
      </c>
      <c r="N8" s="201" t="s">
        <v>29</v>
      </c>
      <c r="O8" s="206" t="s">
        <v>76</v>
      </c>
      <c r="P8" s="205" t="s">
        <v>31</v>
      </c>
      <c r="Q8" s="200" t="s">
        <v>33</v>
      </c>
      <c r="R8" s="205" t="s">
        <v>77</v>
      </c>
      <c r="S8" s="205"/>
      <c r="T8" s="205"/>
      <c r="U8" s="205"/>
      <c r="V8" s="205"/>
      <c r="W8" s="205"/>
      <c r="X8" s="214" t="s">
        <v>78</v>
      </c>
      <c r="Y8" s="214" t="s">
        <v>79</v>
      </c>
      <c r="Z8" s="214" t="s">
        <v>72</v>
      </c>
      <c r="AA8" s="214" t="s">
        <v>80</v>
      </c>
      <c r="AB8" s="214" t="s">
        <v>72</v>
      </c>
      <c r="AC8" s="214" t="s">
        <v>81</v>
      </c>
      <c r="AD8" s="206" t="s">
        <v>49</v>
      </c>
      <c r="AE8" s="213" t="s">
        <v>68</v>
      </c>
      <c r="AF8" s="205" t="s">
        <v>82</v>
      </c>
      <c r="AG8" s="213" t="s">
        <v>323</v>
      </c>
      <c r="AH8" s="213" t="s">
        <v>324</v>
      </c>
      <c r="AI8" s="213" t="s">
        <v>321</v>
      </c>
      <c r="AJ8" s="213" t="s">
        <v>322</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2"/>
      <c r="B9" s="210"/>
      <c r="C9" s="205"/>
      <c r="D9" s="205"/>
      <c r="E9" s="210"/>
      <c r="F9" s="201"/>
      <c r="G9" s="205"/>
      <c r="H9" s="201"/>
      <c r="I9" s="203"/>
      <c r="J9" s="201"/>
      <c r="K9" s="201"/>
      <c r="L9" s="203"/>
      <c r="M9" s="203"/>
      <c r="N9" s="205"/>
      <c r="O9" s="207"/>
      <c r="P9" s="205"/>
      <c r="Q9" s="201"/>
      <c r="R9" s="139" t="s">
        <v>83</v>
      </c>
      <c r="S9" s="139" t="s">
        <v>84</v>
      </c>
      <c r="T9" s="139" t="s">
        <v>85</v>
      </c>
      <c r="U9" s="139" t="s">
        <v>86</v>
      </c>
      <c r="V9" s="139" t="s">
        <v>87</v>
      </c>
      <c r="W9" s="139" t="s">
        <v>88</v>
      </c>
      <c r="X9" s="214"/>
      <c r="Y9" s="214"/>
      <c r="Z9" s="214"/>
      <c r="AA9" s="214"/>
      <c r="AB9" s="214"/>
      <c r="AC9" s="214"/>
      <c r="AD9" s="207"/>
      <c r="AE9" s="213"/>
      <c r="AF9" s="205"/>
      <c r="AG9" s="213"/>
      <c r="AH9" s="213"/>
      <c r="AI9" s="213"/>
      <c r="AJ9" s="21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1">
        <v>1</v>
      </c>
      <c r="B10" s="237" t="s">
        <v>102</v>
      </c>
      <c r="C10" s="237" t="s">
        <v>284</v>
      </c>
      <c r="D10" s="237" t="s">
        <v>285</v>
      </c>
      <c r="E10" s="239" t="s">
        <v>286</v>
      </c>
      <c r="F10" s="237" t="s">
        <v>355</v>
      </c>
      <c r="G10" s="231">
        <f>365</f>
        <v>365</v>
      </c>
      <c r="H10" s="233" t="str">
        <f>IF(G10&lt;=0,"",IF(G10&lt;=2,"Muy Baja",IF(G10&lt;=24,"Baja",IF(G10&lt;=500,"Media",IF(G10&lt;=5000,"Alta","Muy Alta")))))</f>
        <v>Media</v>
      </c>
      <c r="I10" s="217">
        <f>IF(H10="","",IF(H10="Muy Baja",0.2,IF(H10="Baja",0.4,IF(H10="Media",0.6,IF(H10="Alta",0.8,IF(H10="Muy Alta",1,))))))</f>
        <v>0.6</v>
      </c>
      <c r="J10" s="235" t="s">
        <v>91</v>
      </c>
      <c r="K10" s="217" t="str">
        <f>IF(NOT(ISERROR(MATCH(J10,'[9]Tabla Impacto'!$B$221:$B$223,0))),'[9]Tabla Impacto'!$F$223&amp;"Por favor no seleccionar los criterios de impacto(Afectación Económica o presupuestal y Pérdida Reputacional)",J10)</f>
        <v xml:space="preserve">     El riesgo afecta la imagen de la entidad con algunos usuarios de relevancia frente al logro de los objetivos</v>
      </c>
      <c r="L10" s="233" t="str">
        <f>IF(OR(K10='[9]Tabla Impacto'!$C$11,K10='[9]Tabla Impacto'!$D$11),"Leve",IF(OR(K10='[9]Tabla Impacto'!$C$12,K10='[9]Tabla Impacto'!$D$12),"Menor",IF(OR(K10='[9]Tabla Impacto'!$C$13,K10='[9]Tabla Impacto'!$D$13),"Moderado",IF(OR(K10='[9]Tabla Impacto'!$C$14,K10='[9]Tabla Impacto'!$D$14),"Mayor",IF(OR(K10='[9]Tabla Impacto'!$C$15,K10='[9]Tabla Impacto'!$D$15),"Catastrófico","")))))</f>
        <v>Moderado</v>
      </c>
      <c r="M10" s="217">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53">
        <v>1</v>
      </c>
      <c r="P10" s="149" t="s">
        <v>287</v>
      </c>
      <c r="Q10" s="141" t="str">
        <f t="shared" ref="Q10:Q13" si="0">IF(OR(R10="Preventivo",R10="Detectivo"),"Probabilidad",IF(R10="Correctivo","Impacto",""))</f>
        <v>Probabilidad</v>
      </c>
      <c r="R10" s="142" t="s">
        <v>92</v>
      </c>
      <c r="S10" s="142" t="s">
        <v>93</v>
      </c>
      <c r="T10" s="143" t="str">
        <f t="shared" ref="T10:T13" si="1">IF(AND(R10="Preventivo",S10="Automático"),"50%",IF(AND(R10="Preventivo",S10="Manual"),"40%",IF(AND(R10="Detectivo",S10="Automático"),"40%",IF(AND(R10="Detectivo",S10="Manual"),"30%",IF(AND(R10="Correctivo",S10="Automático"),"35%",IF(AND(R10="Correctivo",S10="Manual"),"25%",""))))))</f>
        <v>40%</v>
      </c>
      <c r="U10" s="142" t="s">
        <v>94</v>
      </c>
      <c r="V10" s="142" t="s">
        <v>95</v>
      </c>
      <c r="W10" s="142" t="s">
        <v>96</v>
      </c>
      <c r="X10" s="144">
        <f>IFERROR(IF(Q10="Probabilidad",(I10-(+I10*T10)),IF(Q10="Impacto",I10,"")),"")</f>
        <v>0.36</v>
      </c>
      <c r="Y10" s="145" t="str">
        <f>IFERROR(IF(X10="","",IF(X10&lt;=0.2,"Muy Baja",IF(X10&lt;=0.4,"Baja",IF(X10&lt;=0.6,"Media",IF(X10&lt;=0.8,"Alta","Muy Alta"))))),"")</f>
        <v>Baja</v>
      </c>
      <c r="Z10" s="146">
        <f t="shared" ref="Z10:Z13" si="2">+X10</f>
        <v>0.36</v>
      </c>
      <c r="AA10" s="145" t="str">
        <f>IFERROR(IF(AB10="","",IF(AB10&lt;=0.2,"Leve",IF(AB10&lt;=0.4,"Menor",IF(AB10&lt;=0.6,"Moderado",IF(AB10&lt;=0.8,"Mayor","Catastrófico"))))),"")</f>
        <v>Moderado</v>
      </c>
      <c r="AB10" s="146">
        <f>IFERROR(IF(Q10="Impacto",(M10-(+M10*T10)),IF(Q10="Probabilidad",M10,"")),"")</f>
        <v>0.6</v>
      </c>
      <c r="AC10" s="147" t="str">
        <f t="shared" ref="AC10:AC13"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97</v>
      </c>
      <c r="AE10" s="154" t="s">
        <v>328</v>
      </c>
      <c r="AF10" s="149" t="s">
        <v>395</v>
      </c>
      <c r="AG10" s="149" t="s">
        <v>470</v>
      </c>
      <c r="AH10" s="150" t="s">
        <v>342</v>
      </c>
      <c r="AI10" s="150" t="s">
        <v>394</v>
      </c>
      <c r="AJ10" s="154" t="s">
        <v>342</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2"/>
      <c r="B11" s="238"/>
      <c r="C11" s="238"/>
      <c r="D11" s="238"/>
      <c r="E11" s="240"/>
      <c r="F11" s="238"/>
      <c r="G11" s="232"/>
      <c r="H11" s="234"/>
      <c r="I11" s="218"/>
      <c r="J11" s="236"/>
      <c r="K11" s="218">
        <f ca="1">IF(NOT(ISERROR(MATCH(J11,_xlfn.ANCHORARRAY(#REF!),0))),#REF!&amp;"Por favor no seleccionar los criterios de impacto",J11)</f>
        <v>0</v>
      </c>
      <c r="L11" s="234"/>
      <c r="M11" s="218"/>
      <c r="N11" s="220"/>
      <c r="O11" s="153">
        <v>2</v>
      </c>
      <c r="P11" s="149" t="s">
        <v>393</v>
      </c>
      <c r="Q11" s="141" t="str">
        <f t="shared" si="0"/>
        <v>Probabilidad</v>
      </c>
      <c r="R11" s="142" t="s">
        <v>92</v>
      </c>
      <c r="S11" s="142" t="s">
        <v>106</v>
      </c>
      <c r="T11" s="143" t="str">
        <f t="shared" si="1"/>
        <v>50%</v>
      </c>
      <c r="U11" s="142" t="s">
        <v>94</v>
      </c>
      <c r="V11" s="142" t="s">
        <v>95</v>
      </c>
      <c r="W11" s="142" t="s">
        <v>96</v>
      </c>
      <c r="X11" s="144">
        <f>IFERROR(IF(AND(Q10="Probabilidad",Q11="Probabilidad"),(Z10-(+Z10*T11)),IF(Q11="Probabilidad",(I10-(+I10*T11)),IF(Q11="Impacto",Z10,""))),"")</f>
        <v>0.18</v>
      </c>
      <c r="Y11" s="145" t="str">
        <f t="shared" ref="Y11:Y13" si="4">IFERROR(IF(X11="","",IF(X11&lt;=0.2,"Muy Baja",IF(X11&lt;=0.4,"Baja",IF(X11&lt;=0.6,"Media",IF(X11&lt;=0.8,"Alta","Muy Alta"))))),"")</f>
        <v>Muy Baja</v>
      </c>
      <c r="Z11" s="146">
        <f t="shared" si="2"/>
        <v>0.18</v>
      </c>
      <c r="AA11" s="145" t="str">
        <f t="shared" ref="AA11:AA13" si="5">IFERROR(IF(AB11="","",IF(AB11&lt;=0.2,"Leve",IF(AB11&lt;=0.4,"Menor",IF(AB11&lt;=0.6,"Moderado",IF(AB11&lt;=0.8,"Mayor","Catastrófico"))))),"")</f>
        <v>Moderado</v>
      </c>
      <c r="AB11" s="146">
        <f>IFERROR(IF(AND(Q10="Impacto",Q11="Impacto"),(AB10-(+AB10*T11)),IF(Q11="Impacto",($M$10-(+$M$10*T11)),IF(Q11="Probabilidad",AB10,""))),"")</f>
        <v>0.6</v>
      </c>
      <c r="AC11" s="147" t="str">
        <f t="shared" si="3"/>
        <v>Moderado</v>
      </c>
      <c r="AD11" s="148" t="s">
        <v>97</v>
      </c>
      <c r="AE11" s="154" t="s">
        <v>328</v>
      </c>
      <c r="AF11" s="149" t="s">
        <v>395</v>
      </c>
      <c r="AG11" s="149" t="s">
        <v>470</v>
      </c>
      <c r="AH11" s="150" t="s">
        <v>342</v>
      </c>
      <c r="AI11" s="149" t="s">
        <v>343</v>
      </c>
      <c r="AJ11" s="154" t="s">
        <v>342</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2"/>
      <c r="B12" s="238"/>
      <c r="C12" s="238"/>
      <c r="D12" s="238"/>
      <c r="E12" s="240"/>
      <c r="F12" s="238"/>
      <c r="G12" s="232"/>
      <c r="H12" s="234"/>
      <c r="I12" s="218"/>
      <c r="J12" s="236"/>
      <c r="K12" s="218">
        <f ca="1">IF(NOT(ISERROR(MATCH(J12,_xlfn.ANCHORARRAY(#REF!),0))),#REF!&amp;"Por favor no seleccionar los criterios de impacto",J12)</f>
        <v>0</v>
      </c>
      <c r="L12" s="234"/>
      <c r="M12" s="218"/>
      <c r="N12" s="220"/>
      <c r="O12" s="153">
        <v>3</v>
      </c>
      <c r="P12" s="140" t="s">
        <v>288</v>
      </c>
      <c r="Q12" s="141" t="str">
        <f t="shared" si="0"/>
        <v>Probabilidad</v>
      </c>
      <c r="R12" s="142" t="s">
        <v>92</v>
      </c>
      <c r="S12" s="142" t="s">
        <v>106</v>
      </c>
      <c r="T12" s="143" t="str">
        <f t="shared" si="1"/>
        <v>50%</v>
      </c>
      <c r="U12" s="142" t="s">
        <v>94</v>
      </c>
      <c r="V12" s="142" t="s">
        <v>95</v>
      </c>
      <c r="W12" s="142" t="s">
        <v>96</v>
      </c>
      <c r="X12" s="144">
        <f>IFERROR(IF(AND(Q11="Probabilidad",Q12="Probabilidad"),(Z11-(+Z11*T12)),IF(AND(Q11="Impacto",Q12="Probabilidad"),(Z10-(+Z10*T12)),IF(Q12="Impacto",Z11,""))),"")</f>
        <v>0.09</v>
      </c>
      <c r="Y12" s="145" t="str">
        <f t="shared" si="4"/>
        <v>Muy Baja</v>
      </c>
      <c r="Z12" s="146">
        <f t="shared" si="2"/>
        <v>0.09</v>
      </c>
      <c r="AA12" s="145" t="str">
        <f t="shared" si="5"/>
        <v>Moderado</v>
      </c>
      <c r="AB12" s="146">
        <f>IFERROR(IF(AND(Q11="Impacto",Q12="Impacto"),(AB11-(+AB11*T12)),IF(AND(Q11="Probabilidad",Q12="Impacto"),(AB10-(+AB10*T12)),IF(Q12="Probabilidad",AB11,""))),"")</f>
        <v>0.6</v>
      </c>
      <c r="AC12" s="147" t="str">
        <f t="shared" si="3"/>
        <v>Moderado</v>
      </c>
      <c r="AD12" s="148" t="s">
        <v>97</v>
      </c>
      <c r="AE12" s="154" t="s">
        <v>328</v>
      </c>
      <c r="AF12" s="149" t="s">
        <v>395</v>
      </c>
      <c r="AG12" s="149" t="s">
        <v>470</v>
      </c>
      <c r="AH12" s="150" t="s">
        <v>342</v>
      </c>
      <c r="AI12" s="149" t="s">
        <v>396</v>
      </c>
      <c r="AJ12" s="154" t="s">
        <v>342</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2"/>
      <c r="B13" s="238"/>
      <c r="C13" s="238"/>
      <c r="D13" s="238"/>
      <c r="E13" s="240"/>
      <c r="F13" s="238"/>
      <c r="G13" s="232"/>
      <c r="H13" s="234"/>
      <c r="I13" s="218"/>
      <c r="J13" s="236"/>
      <c r="K13" s="218">
        <f ca="1">IF(NOT(ISERROR(MATCH(J13,_xlfn.ANCHORARRAY(#REF!),0))),#REF!&amp;"Por favor no seleccionar los criterios de impacto",J13)</f>
        <v>0</v>
      </c>
      <c r="L13" s="234"/>
      <c r="M13" s="218"/>
      <c r="N13" s="220"/>
      <c r="O13" s="153">
        <v>4</v>
      </c>
      <c r="P13" s="140" t="s">
        <v>289</v>
      </c>
      <c r="Q13" s="141" t="str">
        <f t="shared" si="0"/>
        <v>Probabilidad</v>
      </c>
      <c r="R13" s="142" t="s">
        <v>92</v>
      </c>
      <c r="S13" s="142" t="s">
        <v>93</v>
      </c>
      <c r="T13" s="143" t="str">
        <f t="shared" si="1"/>
        <v>40%</v>
      </c>
      <c r="U13" s="142" t="s">
        <v>94</v>
      </c>
      <c r="V13" s="142" t="s">
        <v>95</v>
      </c>
      <c r="W13" s="142" t="s">
        <v>96</v>
      </c>
      <c r="X13" s="144">
        <f>IFERROR(IF(AND(Q12="Probabilidad",Q13="Probabilidad"),(Z12-(+Z12*T13)),IF(AND(Q12="Impacto",Q13="Probabilidad"),(Z11-(+Z11*T13)),IF(Q13="Impacto",Z12,""))),"")</f>
        <v>5.3999999999999999E-2</v>
      </c>
      <c r="Y13" s="145" t="str">
        <f t="shared" si="4"/>
        <v>Muy Baja</v>
      </c>
      <c r="Z13" s="146">
        <f t="shared" si="2"/>
        <v>5.3999999999999999E-2</v>
      </c>
      <c r="AA13" s="145" t="str">
        <f t="shared" si="5"/>
        <v>Moderado</v>
      </c>
      <c r="AB13" s="146">
        <f>IFERROR(IF(AND(Q12="Impacto",Q13="Impacto"),(AB12-(+AB12*T13)),IF(AND(Q12="Probabilidad",Q13="Impacto"),(AB11-(+AB11*T13)),IF(Q13="Probabilidad",AB12,""))),"")</f>
        <v>0.6</v>
      </c>
      <c r="AC13" s="147" t="str">
        <f t="shared" si="3"/>
        <v>Moderado</v>
      </c>
      <c r="AD13" s="148" t="s">
        <v>97</v>
      </c>
      <c r="AE13" s="154" t="s">
        <v>328</v>
      </c>
      <c r="AF13" s="149" t="s">
        <v>395</v>
      </c>
      <c r="AG13" s="149" t="s">
        <v>470</v>
      </c>
      <c r="AH13" s="150" t="s">
        <v>342</v>
      </c>
      <c r="AI13" s="149" t="s">
        <v>397</v>
      </c>
      <c r="AJ13" s="154" t="s">
        <v>342</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49.5" customHeight="1" x14ac:dyDescent="0.3">
      <c r="A14" s="6"/>
      <c r="B14" s="245" t="s">
        <v>111</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7"/>
    </row>
    <row r="16" spans="1:68" x14ac:dyDescent="0.3">
      <c r="A16" s="1"/>
      <c r="B16" s="25" t="s">
        <v>112</v>
      </c>
      <c r="C16" s="1"/>
      <c r="D16" s="1"/>
      <c r="F16" s="1"/>
    </row>
  </sheetData>
  <mergeCells count="59">
    <mergeCell ref="B14:AJ14"/>
    <mergeCell ref="M10:M13"/>
    <mergeCell ref="N10:N13"/>
    <mergeCell ref="G10:G13"/>
    <mergeCell ref="H10:H13"/>
    <mergeCell ref="I10:I13"/>
    <mergeCell ref="J10:J13"/>
    <mergeCell ref="K10:K13"/>
    <mergeCell ref="L10:L13"/>
    <mergeCell ref="A10:A13"/>
    <mergeCell ref="B10:B13"/>
    <mergeCell ref="C10:C13"/>
    <mergeCell ref="D10:D13"/>
    <mergeCell ref="E10:E13"/>
    <mergeCell ref="F10:F13"/>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cfRule type="cellIs" dxfId="233" priority="227" operator="equal">
      <formula>"Muy Alta"</formula>
    </cfRule>
    <cfRule type="cellIs" dxfId="232" priority="228" operator="equal">
      <formula>"Alta"</formula>
    </cfRule>
    <cfRule type="cellIs" dxfId="231" priority="229" operator="equal">
      <formula>"Media"</formula>
    </cfRule>
    <cfRule type="cellIs" dxfId="230" priority="230" operator="equal">
      <formula>"Baja"</formula>
    </cfRule>
    <cfRule type="cellIs" dxfId="229" priority="231" operator="equal">
      <formula>"Muy Baja"</formula>
    </cfRule>
  </conditionalFormatting>
  <conditionalFormatting sqref="L10">
    <cfRule type="cellIs" dxfId="228" priority="222" operator="equal">
      <formula>"Catastrófico"</formula>
    </cfRule>
    <cfRule type="cellIs" dxfId="227" priority="223" operator="equal">
      <formula>"Mayor"</formula>
    </cfRule>
    <cfRule type="cellIs" dxfId="226" priority="224" operator="equal">
      <formula>"Moderado"</formula>
    </cfRule>
    <cfRule type="cellIs" dxfId="225" priority="225" operator="equal">
      <formula>"Menor"</formula>
    </cfRule>
    <cfRule type="cellIs" dxfId="224" priority="226" operator="equal">
      <formula>"Leve"</formula>
    </cfRule>
  </conditionalFormatting>
  <conditionalFormatting sqref="N10">
    <cfRule type="cellIs" dxfId="223" priority="218" operator="equal">
      <formula>"Extremo"</formula>
    </cfRule>
    <cfRule type="cellIs" dxfId="222" priority="219" operator="equal">
      <formula>"Alto"</formula>
    </cfRule>
    <cfRule type="cellIs" dxfId="221" priority="220" operator="equal">
      <formula>"Moderado"</formula>
    </cfRule>
    <cfRule type="cellIs" dxfId="220" priority="221" operator="equal">
      <formula>"Bajo"</formula>
    </cfRule>
  </conditionalFormatting>
  <conditionalFormatting sqref="Y10:Y13">
    <cfRule type="cellIs" dxfId="219" priority="213" operator="equal">
      <formula>"Muy Alta"</formula>
    </cfRule>
    <cfRule type="cellIs" dxfId="218" priority="214" operator="equal">
      <formula>"Alta"</formula>
    </cfRule>
    <cfRule type="cellIs" dxfId="217" priority="215" operator="equal">
      <formula>"Media"</formula>
    </cfRule>
    <cfRule type="cellIs" dxfId="216" priority="216" operator="equal">
      <formula>"Baja"</formula>
    </cfRule>
    <cfRule type="cellIs" dxfId="215" priority="217" operator="equal">
      <formula>"Muy Baja"</formula>
    </cfRule>
  </conditionalFormatting>
  <conditionalFormatting sqref="AA10:AA13">
    <cfRule type="cellIs" dxfId="214" priority="208" operator="equal">
      <formula>"Catastrófico"</formula>
    </cfRule>
    <cfRule type="cellIs" dxfId="213" priority="209" operator="equal">
      <formula>"Mayor"</formula>
    </cfRule>
    <cfRule type="cellIs" dxfId="212" priority="210" operator="equal">
      <formula>"Moderado"</formula>
    </cfRule>
    <cfRule type="cellIs" dxfId="211" priority="211" operator="equal">
      <formula>"Menor"</formula>
    </cfRule>
    <cfRule type="cellIs" dxfId="210" priority="212" operator="equal">
      <formula>"Leve"</formula>
    </cfRule>
  </conditionalFormatting>
  <conditionalFormatting sqref="AC10:AC13">
    <cfRule type="cellIs" dxfId="209" priority="204" operator="equal">
      <formula>"Extremo"</formula>
    </cfRule>
    <cfRule type="cellIs" dxfId="208" priority="205" operator="equal">
      <formula>"Alto"</formula>
    </cfRule>
    <cfRule type="cellIs" dxfId="207" priority="206" operator="equal">
      <formula>"Moderado"</formula>
    </cfRule>
    <cfRule type="cellIs" dxfId="206" priority="207" operator="equal">
      <formula>"Bajo"</formula>
    </cfRule>
  </conditionalFormatting>
  <conditionalFormatting sqref="K10:K13">
    <cfRule type="containsText" dxfId="205" priority="1" operator="containsText" text="❌">
      <formula>NOT(ISERROR(SEARCH("❌",K10)))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FB253E-67CB-4F7A-86DD-A0B555F6B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F8577-941C-44F2-A247-A79B37601050}">
  <ds:schemaRefs>
    <ds:schemaRef ds:uri="http://schemas.microsoft.com/sharepoint/v3/contenttype/forms"/>
  </ds:schemaRefs>
</ds:datastoreItem>
</file>

<file path=customXml/itemProps3.xml><?xml version="1.0" encoding="utf-8"?>
<ds:datastoreItem xmlns:ds="http://schemas.openxmlformats.org/officeDocument/2006/customXml" ds:itemID="{7E466431-8290-47CB-9B8C-002EB9CC8F09}">
  <ds:schemaRef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fabc01ff-56fb-48a0-9569-326dbe949d88"/>
    <ds:schemaRef ds:uri="http://schemas.microsoft.com/office/infopath/2007/PartnerControl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Direccionamiento Estrategico</vt:lpstr>
      <vt:lpstr>Comunicaciones </vt:lpstr>
      <vt:lpstr>Asistencia tecnica</vt:lpstr>
      <vt:lpstr>Centro Cultural</vt:lpstr>
      <vt:lpstr>Unidades Productivas</vt:lpstr>
      <vt:lpstr>Producción Radial y Audiovisual</vt:lpstr>
      <vt:lpstr>Gestion Documental</vt:lpstr>
      <vt:lpstr>Servicio al Ciudadano</vt:lpstr>
      <vt:lpstr>Informatica y Tecnologia</vt:lpstr>
      <vt:lpstr>Gestion Contractual</vt:lpstr>
      <vt:lpstr>Gestion Juridica</vt:lpstr>
      <vt:lpstr>Gestion Humana</vt:lpstr>
      <vt:lpstr>Financiero</vt:lpstr>
      <vt:lpstr>Administrativo </vt:lpstr>
      <vt:lpstr>Evaluación y mejoramiento</vt:lpstr>
      <vt:lpstr>Intructivo</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Bryan Ricardo Suarez Rojas</cp:lastModifiedBy>
  <cp:revision/>
  <dcterms:created xsi:type="dcterms:W3CDTF">2020-03-24T23:12:47Z</dcterms:created>
  <dcterms:modified xsi:type="dcterms:W3CDTF">2024-02-21T17:42:46Z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